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drawings/drawing4.xml" ContentType="application/vnd.openxmlformats-officedocument.drawing+xml"/>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EstaPasta_de_trabalho"/>
  <workbookProtection workbookPassword="E005" lockStructure="1"/>
  <bookViews>
    <workbookView xWindow="240" yWindow="135" windowWidth="9690" windowHeight="6675" activeTab="1"/>
  </bookViews>
  <sheets>
    <sheet name="DADOS" sheetId="16" r:id="rId1"/>
    <sheet name="BDI (1)" sheetId="17" r:id="rId2"/>
    <sheet name="PO" sheetId="12" r:id="rId3"/>
    <sheet name="PLQ" sheetId="13" r:id="rId4"/>
    <sheet name="CFF" sheetId="11" r:id="rId5"/>
  </sheets>
  <definedNames>
    <definedName name="_xlnm._FilterDatabase" localSheetId="4" hidden="1">CFF!#REF!</definedName>
    <definedName name="_xlnm._FilterDatabase" localSheetId="0" hidden="1">DADOS!#REF!</definedName>
    <definedName name="_xlnm._FilterDatabase" localSheetId="3" hidden="1">PLQ!$A$15:$BC$47</definedName>
    <definedName name="_xlnm._FilterDatabase" localSheetId="2" hidden="1">PO!$A$14:$U$47</definedName>
    <definedName name="_xlnm.Print_Area" localSheetId="1">'BDI (1)'!$I$1:$R$45</definedName>
    <definedName name="_xlnm.Print_Area" localSheetId="0">DADOS!$A$1:$X$100</definedName>
    <definedName name="_xlnm.Print_Area" localSheetId="3">OFFSET(PLQ!$B$5,0,0,ROW(PLQ.ultima.linha)-ROW(PLQ!$B$5)+1,14+(ROUNDDOWN(PLQ.qtde.frentes/10,0)+IF(MOD(PLQ.qtde.frentes,10)&gt;0,1,0)-1)*10)</definedName>
    <definedName name="_xlnm.Print_Area" localSheetId="2">PO!$L$5:$U$61</definedName>
    <definedName name="CFF.Col.Item">CFF!$C$12:$C$42</definedName>
    <definedName name="CFF.Dados">CFF!$A$13:$AT$42</definedName>
    <definedName name="CFF.LinhaPadrão">CFF!$A$1:$AT$2</definedName>
    <definedName name="CFF.qtde.itens">MAX(OFFSET(PO!$W$15,0,0,PO!$J$15),13)</definedName>
    <definedName name="CFF.qtde.itens.atual">MAX(CFF!$A$13:$A$42)</definedName>
    <definedName name="CFF.qtde.parcelas">MATCH(MAX(CFF!$G$41:$AT$41),CFF!$G$41:$AT$41,0)</definedName>
    <definedName name="CFF.ultima.linha">CFF!$C$51</definedName>
    <definedName name="Dados.Lista.Acompanhamento">DADOS!$P$142:$P$143</definedName>
    <definedName name="Dados.Lista.BDI">DADOS!$E$128:$E$132</definedName>
    <definedName name="Dados.Lista.Localidade">DADOS!$L$127:$L$154</definedName>
    <definedName name="Dados.Lista.RegimeExecução">DADOS!$P$135:$P$140</definedName>
    <definedName name="Dados.Lista.TipoOrç">DADOS!$P$127:$P$131</definedName>
    <definedName name="Dados.Lista.TítuloProf">DADOS!$H$127:$H$132</definedName>
    <definedName name="Import.Ação">DADOS!$Q$23</definedName>
    <definedName name="Import.BDI">PO!$AA$16:$AA$47</definedName>
    <definedName name="Import.CNPJ">DADOS!$H$41</definedName>
    <definedName name="Import.Código">PO!$N$16:$N$47</definedName>
    <definedName name="Import.Convênio">DADOS!$C$23</definedName>
    <definedName name="Import.CR">DADOS!$A$23</definedName>
    <definedName name="Import.CTEF">DADOS!$A$41</definedName>
    <definedName name="Import.CustoUnitário">PO!$R$16:$R$47</definedName>
    <definedName name="Import.DataAssinaturaCR">DADOS!$W$23</definedName>
    <definedName name="Import.DataAssinaturaCTEF">DADOS!$U$41</definedName>
    <definedName name="Import.DataInícioObra">DADOS!$A$46</definedName>
    <definedName name="Import.Descrição">PO!$O$16:$O$47</definedName>
    <definedName name="Import.Empresa">DADOS!$C$41</definedName>
    <definedName name="Import.Fonte">PO!$M$16:$M$47</definedName>
    <definedName name="Import.FrenteDeObra">PLQ!$F$14:$BC$14</definedName>
    <definedName name="Import.Gestor">DADOS!$H$23</definedName>
    <definedName name="Import.Gigov">DADOS!$E$23</definedName>
    <definedName name="Import.Item">PO!$L$16:$L$47</definedName>
    <definedName name="Import.Localidade">DADOS!$L$26</definedName>
    <definedName name="Import.Município">DADOS!$H$26</definedName>
    <definedName name="Import.Nível">PO!$K$16:$K$47</definedName>
    <definedName name="Import.ObjetoCR">DADOS!$Q$26</definedName>
    <definedName name="Import.ObjetoCTEF">DADOS!$O$41</definedName>
    <definedName name="Import.PLQ">PLQ!$F$16:$BC$47</definedName>
    <definedName name="Import.PreçoTotal">PO!$U$16:$U$47</definedName>
    <definedName name="Import.PreçoUnitário">PO!$T$16:$T$47</definedName>
    <definedName name="Import.Programa">DADOS!$L$23</definedName>
    <definedName name="Import.Proponente">DADOS!$A$26</definedName>
    <definedName name="Import.Quantidade">PO!$Q$16:$Q$47</definedName>
    <definedName name="Import.RegimeExecução">DADOS!$K$41</definedName>
    <definedName name="Import.Unidade">PO!$P$16:$P$47</definedName>
    <definedName name="Import.Vigência">DADOS!$W$41</definedName>
    <definedName name="LinhaAssinaturas">DADOS!$A$52</definedName>
    <definedName name="LinhaCabeçalho">DADOS!$A$246</definedName>
    <definedName name="LinhaCabeçalhoDados">DADOS!$A$33</definedName>
    <definedName name="LinhaEncargosSociais">PO!$L$49</definedName>
    <definedName name="ListaPreços" localSheetId="0">OFFSET(#REF!,0,0,COUNTA(#REF!)-2,1)</definedName>
    <definedName name="ListaPreços">OFFSET(#REF!,1,0,COUNTA(#REF!)-2,1)</definedName>
    <definedName name="listasit">OFFSET(#REF!,0,IF(#REF!=#REF!,0,1),IF(#REF!=#REF!,1,6),1)</definedName>
    <definedName name="PLQ.Col.QTD">PLQ!$E$15</definedName>
    <definedName name="PLQ.Dados">PLQ!$A$15:$BC$48</definedName>
    <definedName name="PLQ.LinhaPadrão">PLQ!$A$2:$BC$2</definedName>
    <definedName name="PLQ.qtde.frentes">COUNTA(PLQ!$F$14:$BC$14)</definedName>
    <definedName name="PLQ.ultima.linha">PLQ!$B$54</definedName>
    <definedName name="PO.Col.BDI">PO!$S$14</definedName>
    <definedName name="PO.Col.Descrição">PO!$O$14</definedName>
    <definedName name="PO.Col.Nível">PO!$K$14</definedName>
    <definedName name="PO.Col.QTD">PO!$Q$14</definedName>
    <definedName name="PO.Col.Tipo">PO!$I$14</definedName>
    <definedName name="PO.Dados">PO!$A$15:$AA$47</definedName>
    <definedName name="PO.I.Global">PO!$K$1:$U$1</definedName>
    <definedName name="PO.I.Lote">PO!$K$1:$U$1</definedName>
    <definedName name="PO.LinhaPadrão">PO!$A$2:$AA$2</definedName>
    <definedName name="PO.Lista.Fonte">PO!$C$5:$C$9</definedName>
    <definedName name="PO.NúmeroNível">PO!$A1*1000^4+PO!$B1*1000^3+PO!$C1*1000^2+PO!$D1*1000^1+PO!$E1*1000^0</definedName>
    <definedName name="PO.Unitarios">PO!$R$16:$R$47</definedName>
    <definedName name="PO.Unitarios.bkp1">PO!$X$16:$X$47</definedName>
    <definedName name="PO.Unitarios.bkp2">PO!$Y$16:$Y$47</definedName>
    <definedName name="Regime" localSheetId="4">IF(CFF!#REF!="LAE",CFF!#REF!,CFF!#REF!)</definedName>
    <definedName name="TipoOrçamento">IF(OR(DADOS!$A$31=DADOS!$P$130,DADOS!$A$31=DADOS!$P$131),"LICITADO","BASE")</definedName>
    <definedName name="_xlnm.Print_Titles" localSheetId="4">CFF!$C:$F,CFF!$12:$12</definedName>
    <definedName name="_xlnm.Print_Titles" localSheetId="3">PLQ!$B:$E,PLQ!$14:$15</definedName>
    <definedName name="_xlnm.Print_Titles" localSheetId="2">PO!$14:$14</definedName>
  </definedNames>
  <calcPr calcId="144525"/>
</workbook>
</file>

<file path=xl/calcChain.xml><?xml version="1.0" encoding="utf-8"?>
<calcChain xmlns="http://schemas.openxmlformats.org/spreadsheetml/2006/main">
  <c r="J18" i="12" l="1"/>
  <c r="F18" i="12"/>
  <c r="N25" i="17"/>
  <c r="L30" i="17"/>
  <c r="I16" i="12"/>
  <c r="E16" i="12" s="1"/>
  <c r="A15" i="12"/>
  <c r="J40" i="12"/>
  <c r="F40" i="12"/>
  <c r="C40" i="13"/>
  <c r="D40" i="13" s="1"/>
  <c r="A40" i="13"/>
  <c r="J20" i="12"/>
  <c r="F20" i="12"/>
  <c r="C20" i="13"/>
  <c r="A20" i="13"/>
  <c r="J19" i="12"/>
  <c r="F19" i="12"/>
  <c r="C19" i="13"/>
  <c r="A19" i="13"/>
  <c r="C18" i="13"/>
  <c r="A18" i="13"/>
  <c r="E18" i="13" s="1"/>
  <c r="Q18" i="12" s="1"/>
  <c r="D19" i="13"/>
  <c r="O6" i="12"/>
  <c r="N24" i="17"/>
  <c r="J47" i="12"/>
  <c r="F47" i="12"/>
  <c r="C47" i="13"/>
  <c r="D47" i="13" s="1"/>
  <c r="A47" i="13"/>
  <c r="J46" i="12"/>
  <c r="F46" i="12"/>
  <c r="C46" i="13"/>
  <c r="A46" i="13"/>
  <c r="J45" i="12"/>
  <c r="F45" i="12"/>
  <c r="C45" i="13"/>
  <c r="D45" i="13" s="1"/>
  <c r="A45" i="13"/>
  <c r="J44" i="12"/>
  <c r="F44" i="12"/>
  <c r="C44" i="13"/>
  <c r="A44" i="13"/>
  <c r="J43" i="12"/>
  <c r="F43" i="12"/>
  <c r="C43" i="13"/>
  <c r="D43" i="13" s="1"/>
  <c r="A43" i="13"/>
  <c r="J42" i="12"/>
  <c r="F42" i="12"/>
  <c r="C42" i="13"/>
  <c r="D42" i="13" s="1"/>
  <c r="A42" i="13"/>
  <c r="J41" i="12"/>
  <c r="F41" i="12"/>
  <c r="C41" i="13"/>
  <c r="D41" i="13" s="1"/>
  <c r="A41" i="13"/>
  <c r="J39" i="12"/>
  <c r="F39" i="12"/>
  <c r="C39" i="13"/>
  <c r="A39" i="13"/>
  <c r="J38" i="12"/>
  <c r="F38" i="12"/>
  <c r="C38" i="13"/>
  <c r="A38" i="13"/>
  <c r="J37" i="12"/>
  <c r="F37" i="12"/>
  <c r="C37" i="13"/>
  <c r="D37" i="13" s="1"/>
  <c r="A37" i="13"/>
  <c r="J36" i="12"/>
  <c r="F36" i="12"/>
  <c r="C36" i="13"/>
  <c r="E36" i="13" s="1"/>
  <c r="Q36" i="12" s="1"/>
  <c r="A36" i="13"/>
  <c r="J35" i="12"/>
  <c r="F35" i="12"/>
  <c r="C35" i="13"/>
  <c r="D35" i="13" s="1"/>
  <c r="A35" i="13"/>
  <c r="J34" i="12"/>
  <c r="F34" i="12"/>
  <c r="C34" i="13"/>
  <c r="A34" i="13"/>
  <c r="J33" i="12"/>
  <c r="F33" i="12"/>
  <c r="C33" i="13"/>
  <c r="A33" i="13"/>
  <c r="J32" i="12"/>
  <c r="F32" i="12"/>
  <c r="C32" i="13"/>
  <c r="A32" i="13"/>
  <c r="E32" i="13"/>
  <c r="Q32" i="12" s="1"/>
  <c r="J31" i="12"/>
  <c r="F31" i="12"/>
  <c r="C31" i="13"/>
  <c r="D31" i="13" s="1"/>
  <c r="A31" i="13"/>
  <c r="E31" i="13" s="1"/>
  <c r="Q31" i="12" s="1"/>
  <c r="J30" i="12"/>
  <c r="F30" i="12"/>
  <c r="C30" i="13"/>
  <c r="A30" i="13"/>
  <c r="J29" i="12"/>
  <c r="F29" i="12"/>
  <c r="C29" i="13"/>
  <c r="D29" i="13" s="1"/>
  <c r="E29" i="13"/>
  <c r="Q29" i="12" s="1"/>
  <c r="A29" i="13"/>
  <c r="J28" i="12"/>
  <c r="F28" i="12"/>
  <c r="C28" i="13"/>
  <c r="D28" i="13" s="1"/>
  <c r="A28" i="13"/>
  <c r="J27" i="12"/>
  <c r="F27" i="12"/>
  <c r="C27" i="13"/>
  <c r="D27" i="13" s="1"/>
  <c r="A27" i="13"/>
  <c r="D46" i="13"/>
  <c r="D44" i="13"/>
  <c r="D39" i="13"/>
  <c r="D38" i="13"/>
  <c r="D33" i="13"/>
  <c r="D32" i="13"/>
  <c r="M31" i="17"/>
  <c r="M30" i="17"/>
  <c r="M22" i="17"/>
  <c r="M21" i="17"/>
  <c r="M20" i="17"/>
  <c r="M19" i="17"/>
  <c r="M18" i="17"/>
  <c r="I22" i="17"/>
  <c r="I21" i="17"/>
  <c r="I20" i="17"/>
  <c r="I19" i="17"/>
  <c r="I18" i="17"/>
  <c r="B59" i="16"/>
  <c r="B58" i="16"/>
  <c r="J25" i="12"/>
  <c r="F25" i="12"/>
  <c r="J24" i="12"/>
  <c r="F24" i="12"/>
  <c r="J23" i="12"/>
  <c r="F23" i="12"/>
  <c r="C24" i="13"/>
  <c r="D24" i="13" s="1"/>
  <c r="A24" i="13"/>
  <c r="J26" i="12"/>
  <c r="F26" i="12"/>
  <c r="C25" i="13"/>
  <c r="D25" i="13" s="1"/>
  <c r="A25" i="13"/>
  <c r="J22" i="12"/>
  <c r="F22" i="12"/>
  <c r="J21" i="12"/>
  <c r="F21" i="12"/>
  <c r="C22" i="13"/>
  <c r="D22" i="13" s="1"/>
  <c r="A22" i="13"/>
  <c r="AA1" i="12"/>
  <c r="C26" i="13"/>
  <c r="E26" i="13" s="1"/>
  <c r="Q26" i="12" s="1"/>
  <c r="A26" i="13"/>
  <c r="C23" i="13"/>
  <c r="A23" i="13"/>
  <c r="C21" i="13"/>
  <c r="A21" i="13"/>
  <c r="J2" i="12"/>
  <c r="I2" i="12"/>
  <c r="W2" i="12" s="1"/>
  <c r="F2" i="12"/>
  <c r="W1" i="12"/>
  <c r="T16" i="12"/>
  <c r="G16" i="12"/>
  <c r="G15" i="12"/>
  <c r="I8" i="17"/>
  <c r="O15" i="12"/>
  <c r="F15" i="12" s="1"/>
  <c r="H244" i="16"/>
  <c r="L244" i="16"/>
  <c r="W244" i="16"/>
  <c r="U244" i="16"/>
  <c r="S244" i="16"/>
  <c r="Q244" i="16"/>
  <c r="O244" i="16"/>
  <c r="M244" i="16"/>
  <c r="K244" i="16"/>
  <c r="I244" i="16"/>
  <c r="G244" i="16"/>
  <c r="E244" i="16"/>
  <c r="C244" i="16"/>
  <c r="A244" i="16"/>
  <c r="L241" i="16"/>
  <c r="H241" i="16"/>
  <c r="W241" i="16"/>
  <c r="U241" i="16"/>
  <c r="S241" i="16"/>
  <c r="Q241" i="16"/>
  <c r="O241" i="16"/>
  <c r="M241" i="16"/>
  <c r="K241" i="16"/>
  <c r="I241" i="16"/>
  <c r="G241" i="16"/>
  <c r="E241" i="16"/>
  <c r="C241" i="16"/>
  <c r="A241" i="16"/>
  <c r="N250" i="16"/>
  <c r="J250" i="16"/>
  <c r="H250" i="16"/>
  <c r="W250" i="16"/>
  <c r="U250" i="16"/>
  <c r="S250" i="16"/>
  <c r="Q250" i="16"/>
  <c r="O250" i="16"/>
  <c r="M250" i="16"/>
  <c r="K250" i="16"/>
  <c r="I250" i="16"/>
  <c r="G250" i="16"/>
  <c r="E250" i="16"/>
  <c r="C250" i="16"/>
  <c r="A250" i="16"/>
  <c r="S247" i="16"/>
  <c r="R247" i="16"/>
  <c r="Q247" i="16"/>
  <c r="P247" i="16"/>
  <c r="O247" i="16"/>
  <c r="N247" i="16"/>
  <c r="M247" i="16"/>
  <c r="L247" i="16"/>
  <c r="K247" i="16"/>
  <c r="J247" i="16"/>
  <c r="I247" i="16"/>
  <c r="H247" i="16"/>
  <c r="G247" i="16"/>
  <c r="F247" i="16"/>
  <c r="E247" i="16"/>
  <c r="D247" i="16"/>
  <c r="C247" i="16"/>
  <c r="A247" i="16"/>
  <c r="R14" i="12"/>
  <c r="F17" i="12"/>
  <c r="D18" i="13"/>
  <c r="N2" i="17"/>
  <c r="K5" i="17"/>
  <c r="I5" i="17"/>
  <c r="I39" i="17"/>
  <c r="J45" i="17"/>
  <c r="J44" i="17"/>
  <c r="J43" i="17"/>
  <c r="A45" i="17"/>
  <c r="C44" i="17"/>
  <c r="A39" i="17"/>
  <c r="C38" i="17"/>
  <c r="A28" i="17"/>
  <c r="A29" i="17" s="1"/>
  <c r="C27" i="17"/>
  <c r="A22" i="17"/>
  <c r="C22" i="17" s="1"/>
  <c r="C21" i="17"/>
  <c r="A15" i="17"/>
  <c r="C15" i="17" s="1"/>
  <c r="C14" i="17"/>
  <c r="C13" i="17"/>
  <c r="C12" i="17"/>
  <c r="C11" i="17"/>
  <c r="C10" i="17"/>
  <c r="C9" i="17"/>
  <c r="C8" i="17"/>
  <c r="A3" i="17"/>
  <c r="A4" i="17" s="1"/>
  <c r="C2" i="17"/>
  <c r="F12" i="11"/>
  <c r="A1" i="11"/>
  <c r="I15" i="12"/>
  <c r="J15" i="12" s="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T12" i="11"/>
  <c r="S12" i="11"/>
  <c r="R12" i="11"/>
  <c r="Q12" i="11"/>
  <c r="P12" i="11"/>
  <c r="O12" i="11"/>
  <c r="N12" i="11"/>
  <c r="M12" i="11"/>
  <c r="L12" i="11"/>
  <c r="K12" i="11"/>
  <c r="J12" i="11"/>
  <c r="I12" i="11"/>
  <c r="H12" i="11"/>
  <c r="G12" i="11"/>
  <c r="D44" i="11"/>
  <c r="F44" i="11"/>
  <c r="A2" i="13"/>
  <c r="C2" i="13"/>
  <c r="G4" i="13"/>
  <c r="H4" i="13" s="1"/>
  <c r="I4" i="13" s="1"/>
  <c r="J4" i="13" s="1"/>
  <c r="K4" i="13" s="1"/>
  <c r="L4" i="13" s="1"/>
  <c r="M4" i="13" s="1"/>
  <c r="N4" i="13" s="1"/>
  <c r="O4" i="13" s="1"/>
  <c r="P4" i="13" s="1"/>
  <c r="Q4" i="13" s="1"/>
  <c r="R4" i="13" s="1"/>
  <c r="S4" i="13" s="1"/>
  <c r="T4" i="13" s="1"/>
  <c r="U4" i="13" s="1"/>
  <c r="V4" i="13" s="1"/>
  <c r="W4" i="13" s="1"/>
  <c r="X4" i="13" s="1"/>
  <c r="Y4" i="13" s="1"/>
  <c r="Z4" i="13" s="1"/>
  <c r="AA4" i="13" s="1"/>
  <c r="AB4" i="13" s="1"/>
  <c r="AC4" i="13" s="1"/>
  <c r="AD4" i="13" s="1"/>
  <c r="AE4" i="13" s="1"/>
  <c r="AF4" i="13" s="1"/>
  <c r="AG4" i="13" s="1"/>
  <c r="AH4" i="13" s="1"/>
  <c r="AI4" i="13" s="1"/>
  <c r="AJ4" i="13" s="1"/>
  <c r="AK4" i="13" s="1"/>
  <c r="AL4" i="13" s="1"/>
  <c r="AM4" i="13" s="1"/>
  <c r="AN4" i="13" s="1"/>
  <c r="AO4" i="13" s="1"/>
  <c r="AP4" i="13" s="1"/>
  <c r="AQ4" i="13" s="1"/>
  <c r="AR4" i="13" s="1"/>
  <c r="AS4" i="13" s="1"/>
  <c r="AT4" i="13" s="1"/>
  <c r="AU4" i="13" s="1"/>
  <c r="AV4" i="13" s="1"/>
  <c r="AW4" i="13" s="1"/>
  <c r="AX4" i="13" s="1"/>
  <c r="AY4" i="13" s="1"/>
  <c r="AZ4" i="13" s="1"/>
  <c r="BA4" i="13" s="1"/>
  <c r="BB4" i="13" s="1"/>
  <c r="BC4" i="13" s="1"/>
  <c r="F15" i="13"/>
  <c r="G15" i="13"/>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AH15" i="13" s="1"/>
  <c r="AI15" i="13" s="1"/>
  <c r="AJ15" i="13" s="1"/>
  <c r="AK15" i="13" s="1"/>
  <c r="AL15" i="13" s="1"/>
  <c r="AM15" i="13" s="1"/>
  <c r="AN15" i="13" s="1"/>
  <c r="AO15" i="13" s="1"/>
  <c r="AP15" i="13" s="1"/>
  <c r="AQ15" i="13" s="1"/>
  <c r="AR15" i="13" s="1"/>
  <c r="AS15" i="13" s="1"/>
  <c r="AT15" i="13" s="1"/>
  <c r="AU15" i="13" s="1"/>
  <c r="AV15" i="13" s="1"/>
  <c r="AW15" i="13" s="1"/>
  <c r="AX15" i="13" s="1"/>
  <c r="AY15" i="13" s="1"/>
  <c r="AZ15" i="13" s="1"/>
  <c r="BA15" i="13" s="1"/>
  <c r="BB15" i="13" s="1"/>
  <c r="BC15" i="13" s="1"/>
  <c r="A16" i="13"/>
  <c r="C16" i="13"/>
  <c r="D16" i="13" s="1"/>
  <c r="A17" i="13"/>
  <c r="C17" i="13"/>
  <c r="D17" i="13" s="1"/>
  <c r="U1" i="12"/>
  <c r="B15" i="12"/>
  <c r="C15" i="12" s="1"/>
  <c r="D15" i="12" s="1"/>
  <c r="E15" i="12" s="1"/>
  <c r="F16" i="12"/>
  <c r="F47" i="16"/>
  <c r="G47" i="16" s="1"/>
  <c r="I45" i="17"/>
  <c r="A13" i="11"/>
  <c r="A15" i="11" s="1"/>
  <c r="C3" i="17"/>
  <c r="Q19" i="17" s="1"/>
  <c r="I33" i="17"/>
  <c r="D26" i="13"/>
  <c r="D23" i="13"/>
  <c r="D21" i="13"/>
  <c r="G17" i="12"/>
  <c r="T17" i="12"/>
  <c r="D20" i="13"/>
  <c r="E22" i="13"/>
  <c r="Q22" i="12" s="1"/>
  <c r="C39" i="17"/>
  <c r="A40" i="17"/>
  <c r="C40" i="17" s="1"/>
  <c r="A46" i="17"/>
  <c r="A47" i="17" s="1"/>
  <c r="C45" i="17"/>
  <c r="A17" i="17"/>
  <c r="C17" i="17" s="1"/>
  <c r="E47" i="13"/>
  <c r="Q47" i="12" s="1"/>
  <c r="E37" i="13"/>
  <c r="Q37" i="12"/>
  <c r="E38" i="13"/>
  <c r="Q38" i="12" s="1"/>
  <c r="E39" i="13"/>
  <c r="Q39" i="12" s="1"/>
  <c r="E41" i="13"/>
  <c r="Q41" i="12" s="1"/>
  <c r="E42" i="13"/>
  <c r="Q42" i="12" s="1"/>
  <c r="E43" i="13"/>
  <c r="Q43" i="12" s="1"/>
  <c r="E44" i="13"/>
  <c r="Q44" i="12" s="1"/>
  <c r="E45" i="13"/>
  <c r="Q45" i="12" s="1"/>
  <c r="E46" i="13"/>
  <c r="Q46" i="12"/>
  <c r="A18" i="17"/>
  <c r="Q18" i="17"/>
  <c r="P18" i="17"/>
  <c r="R18" i="17"/>
  <c r="H47" i="16"/>
  <c r="E35" i="13"/>
  <c r="Q35" i="12" s="1"/>
  <c r="E19" i="13"/>
  <c r="Q19" i="12" s="1"/>
  <c r="E40" i="13"/>
  <c r="Q40" i="12" s="1"/>
  <c r="E24" i="13"/>
  <c r="Q24" i="12" s="1"/>
  <c r="D2" i="13"/>
  <c r="E20" i="13"/>
  <c r="Q20" i="12" s="1"/>
  <c r="E33" i="13"/>
  <c r="Q33" i="12" s="1"/>
  <c r="D30" i="13"/>
  <c r="D34" i="13"/>
  <c r="E28" i="13"/>
  <c r="Q28" i="12" s="1"/>
  <c r="V36" i="16"/>
  <c r="U36" i="16"/>
  <c r="W36" i="16"/>
  <c r="X36" i="16"/>
  <c r="E27" i="13" l="1"/>
  <c r="Q27" i="12" s="1"/>
  <c r="C46" i="17"/>
  <c r="A41" i="17"/>
  <c r="E25" i="13"/>
  <c r="Q25" i="12" s="1"/>
  <c r="E2" i="13"/>
  <c r="Q2" i="12" s="1"/>
  <c r="E21" i="13"/>
  <c r="Q21" i="12" s="1"/>
  <c r="B16" i="12"/>
  <c r="C29" i="17"/>
  <c r="A32" i="17"/>
  <c r="C32" i="17" s="1"/>
  <c r="C47" i="17"/>
  <c r="A48" i="17"/>
  <c r="E17" i="13"/>
  <c r="Q17" i="12" s="1"/>
  <c r="R19" i="17"/>
  <c r="C28" i="17"/>
  <c r="D36" i="13"/>
  <c r="P19" i="17"/>
  <c r="E16" i="13"/>
  <c r="Q16" i="12" s="1"/>
  <c r="H15" i="12"/>
  <c r="V15" i="12" s="1"/>
  <c r="E23" i="13"/>
  <c r="Q23" i="12" s="1"/>
  <c r="E30" i="13"/>
  <c r="Q30" i="12" s="1"/>
  <c r="B1" i="11"/>
  <c r="D1" i="11" s="1"/>
  <c r="E34" i="13"/>
  <c r="Q34" i="12" s="1"/>
  <c r="E2" i="12"/>
  <c r="D2" i="12"/>
  <c r="C16" i="12"/>
  <c r="A16" i="12"/>
  <c r="D16" i="12"/>
  <c r="I17" i="12"/>
  <c r="E17" i="12" s="1"/>
  <c r="W16" i="12"/>
  <c r="B13" i="11" s="1"/>
  <c r="D13" i="11" s="1"/>
  <c r="C2" i="12"/>
  <c r="A2" i="12"/>
  <c r="B2" i="12"/>
  <c r="A17" i="11"/>
  <c r="A19" i="11" s="1"/>
  <c r="F130" i="16"/>
  <c r="V247" i="16"/>
  <c r="F129" i="16"/>
  <c r="U247" i="16"/>
  <c r="F131" i="16"/>
  <c r="W247" i="16"/>
  <c r="X247" i="16"/>
  <c r="F132" i="16"/>
  <c r="A19" i="17"/>
  <c r="C18" i="17"/>
  <c r="A5" i="17"/>
  <c r="C4" i="17"/>
  <c r="O25" i="17"/>
  <c r="A42" i="17"/>
  <c r="C41" i="17"/>
  <c r="A49" i="17"/>
  <c r="C49" i="17" s="1"/>
  <c r="C48" i="17"/>
  <c r="A23" i="17"/>
  <c r="C1" i="11" l="1"/>
  <c r="G2" i="11" s="1"/>
  <c r="G1" i="11" s="1"/>
  <c r="I18" i="12"/>
  <c r="D18" i="12" s="1"/>
  <c r="A33" i="17"/>
  <c r="E1" i="11"/>
  <c r="J16" i="12"/>
  <c r="H16" i="12" s="1"/>
  <c r="V16" i="12" s="1"/>
  <c r="W17" i="12"/>
  <c r="B15" i="11" s="1"/>
  <c r="D15" i="11" s="1"/>
  <c r="C17" i="12"/>
  <c r="L16" i="12"/>
  <c r="B16" i="13" s="1"/>
  <c r="B17" i="12"/>
  <c r="A17" i="12"/>
  <c r="G2" i="12"/>
  <c r="H2" i="12" s="1"/>
  <c r="V2" i="12" s="1"/>
  <c r="D17" i="12"/>
  <c r="L2" i="12"/>
  <c r="B2" i="13" s="1"/>
  <c r="A6" i="17"/>
  <c r="C5" i="17"/>
  <c r="Q21" i="17" s="1"/>
  <c r="C19" i="17"/>
  <c r="A20" i="17"/>
  <c r="C20" i="17" s="1"/>
  <c r="A21" i="11"/>
  <c r="A34" i="17"/>
  <c r="C34" i="17" s="1"/>
  <c r="C33" i="17"/>
  <c r="Q20" i="17"/>
  <c r="R20" i="17"/>
  <c r="P20" i="17"/>
  <c r="A24" i="17"/>
  <c r="C23" i="17"/>
  <c r="C42" i="17"/>
  <c r="A43" i="17"/>
  <c r="C43" i="17" s="1"/>
  <c r="A18" i="12" l="1"/>
  <c r="E18" i="12"/>
  <c r="H2" i="11"/>
  <c r="I2" i="11" s="1"/>
  <c r="J2" i="11" s="1"/>
  <c r="B18" i="12"/>
  <c r="W18" i="12"/>
  <c r="I19" i="12"/>
  <c r="I20" i="12" s="1"/>
  <c r="C18" i="12"/>
  <c r="C13" i="11"/>
  <c r="L17" i="12"/>
  <c r="C15" i="11" s="1"/>
  <c r="G16" i="11" s="1"/>
  <c r="H16" i="11" s="1"/>
  <c r="I16" i="11" s="1"/>
  <c r="J16" i="11" s="1"/>
  <c r="K16" i="11" s="1"/>
  <c r="L16" i="11" s="1"/>
  <c r="M16" i="11" s="1"/>
  <c r="N16" i="11" s="1"/>
  <c r="O16" i="11" s="1"/>
  <c r="P16" i="11" s="1"/>
  <c r="Q16" i="11" s="1"/>
  <c r="R16" i="11" s="1"/>
  <c r="S16" i="11" s="1"/>
  <c r="T16" i="11" s="1"/>
  <c r="U16" i="11" s="1"/>
  <c r="V16" i="11" s="1"/>
  <c r="W16" i="11" s="1"/>
  <c r="X16" i="11" s="1"/>
  <c r="Y16" i="11" s="1"/>
  <c r="Z16" i="11" s="1"/>
  <c r="AA16" i="11" s="1"/>
  <c r="AB16" i="11" s="1"/>
  <c r="AC16" i="11" s="1"/>
  <c r="AD16" i="11" s="1"/>
  <c r="AE16" i="11" s="1"/>
  <c r="AF16" i="11" s="1"/>
  <c r="AG16" i="11" s="1"/>
  <c r="AH16" i="11" s="1"/>
  <c r="AI16" i="11" s="1"/>
  <c r="AJ16" i="11" s="1"/>
  <c r="AK16" i="11" s="1"/>
  <c r="AL16" i="11" s="1"/>
  <c r="AM16" i="11" s="1"/>
  <c r="AN16" i="11" s="1"/>
  <c r="AO16" i="11" s="1"/>
  <c r="AP16" i="11" s="1"/>
  <c r="AQ16" i="11" s="1"/>
  <c r="AR16" i="11" s="1"/>
  <c r="AS16" i="11" s="1"/>
  <c r="AT16" i="11" s="1"/>
  <c r="J17" i="12"/>
  <c r="H17" i="12" s="1"/>
  <c r="V17" i="12" s="1"/>
  <c r="A25" i="17"/>
  <c r="C24" i="17"/>
  <c r="P21" i="17"/>
  <c r="A23" i="11"/>
  <c r="R21" i="17"/>
  <c r="C6" i="17"/>
  <c r="A7" i="17"/>
  <c r="C7" i="17" s="1"/>
  <c r="G18" i="12" l="1"/>
  <c r="H18" i="12" s="1"/>
  <c r="V18" i="12" s="1"/>
  <c r="W19" i="12"/>
  <c r="L18" i="12"/>
  <c r="B18" i="13" s="1"/>
  <c r="E19" i="12"/>
  <c r="A19" i="12"/>
  <c r="A20" i="12" s="1"/>
  <c r="C19" i="12"/>
  <c r="C20" i="12" s="1"/>
  <c r="D19" i="12"/>
  <c r="B19" i="12"/>
  <c r="B20" i="12" s="1"/>
  <c r="Q26" i="17"/>
  <c r="B17" i="13"/>
  <c r="I21" i="12"/>
  <c r="D20" i="12"/>
  <c r="W20" i="12"/>
  <c r="E20" i="12"/>
  <c r="A25" i="11"/>
  <c r="C25" i="17"/>
  <c r="A26" i="17"/>
  <c r="C26" i="17" s="1"/>
  <c r="AS15" i="11"/>
  <c r="O15" i="11"/>
  <c r="P15" i="11"/>
  <c r="Y15" i="11"/>
  <c r="T15" i="11"/>
  <c r="G15" i="11"/>
  <c r="AQ15" i="11"/>
  <c r="X15" i="11"/>
  <c r="W15" i="11"/>
  <c r="AK15" i="11"/>
  <c r="AN15" i="11"/>
  <c r="AJ15" i="11"/>
  <c r="AF15" i="11"/>
  <c r="AH15" i="11"/>
  <c r="V15" i="11"/>
  <c r="N15" i="11"/>
  <c r="J15" i="11"/>
  <c r="AG15" i="11"/>
  <c r="H15" i="11"/>
  <c r="L15" i="11"/>
  <c r="U15" i="11"/>
  <c r="K15" i="11"/>
  <c r="AL15" i="11"/>
  <c r="AP15" i="11"/>
  <c r="AR15" i="11"/>
  <c r="R15" i="11"/>
  <c r="AM15" i="11"/>
  <c r="Q15" i="11"/>
  <c r="AE15" i="11"/>
  <c r="M15" i="11"/>
  <c r="AA15" i="11"/>
  <c r="AT15" i="11"/>
  <c r="AB15" i="11"/>
  <c r="I15" i="11"/>
  <c r="S15" i="11"/>
  <c r="AD15" i="11"/>
  <c r="AO15" i="11"/>
  <c r="AI15" i="11"/>
  <c r="AC15" i="11"/>
  <c r="Z15" i="11"/>
  <c r="P26" i="17"/>
  <c r="Q22" i="17"/>
  <c r="P22" i="17"/>
  <c r="R26" i="17"/>
  <c r="K2" i="11"/>
  <c r="R22" i="17"/>
  <c r="N22" i="17" s="1"/>
  <c r="N27" i="17" l="1"/>
  <c r="N26" i="17"/>
  <c r="O26" i="17" s="1"/>
  <c r="O27" i="17" s="1"/>
  <c r="L19" i="12"/>
  <c r="B19" i="13" s="1"/>
  <c r="G19" i="12"/>
  <c r="H19" i="12" s="1"/>
  <c r="V19" i="12" s="1"/>
  <c r="G20" i="12"/>
  <c r="H20" i="12" s="1"/>
  <c r="V20" i="12" s="1"/>
  <c r="L20" i="12"/>
  <c r="B20" i="13" s="1"/>
  <c r="W21" i="12"/>
  <c r="D21" i="12"/>
  <c r="I22" i="12"/>
  <c r="C21" i="12"/>
  <c r="E21" i="12"/>
  <c r="A21" i="12"/>
  <c r="B21" i="12"/>
  <c r="L2" i="11"/>
  <c r="A27" i="11"/>
  <c r="T36" i="16"/>
  <c r="F128" i="16" l="1"/>
  <c r="T247" i="16"/>
  <c r="E22" i="12"/>
  <c r="D22" i="12"/>
  <c r="W22" i="12"/>
  <c r="I23" i="12"/>
  <c r="A22" i="12"/>
  <c r="B22" i="12"/>
  <c r="C22" i="12"/>
  <c r="G21" i="12"/>
  <c r="H21" i="12" s="1"/>
  <c r="V21" i="12" s="1"/>
  <c r="L21" i="12"/>
  <c r="B21" i="13" s="1"/>
  <c r="M2" i="11"/>
  <c r="A29" i="11"/>
  <c r="T37" i="12" l="1"/>
  <c r="U37" i="12" s="1"/>
  <c r="AA26" i="12"/>
  <c r="AA18" i="12"/>
  <c r="AA43" i="12"/>
  <c r="T39" i="12"/>
  <c r="U39" i="12" s="1"/>
  <c r="T27" i="12"/>
  <c r="U27" i="12" s="1"/>
  <c r="T32" i="12"/>
  <c r="U32" i="12" s="1"/>
  <c r="AA31" i="12"/>
  <c r="T47" i="12"/>
  <c r="U47" i="12" s="1"/>
  <c r="T31" i="12"/>
  <c r="U31" i="12" s="1"/>
  <c r="AA27" i="12"/>
  <c r="AA47" i="12"/>
  <c r="T18" i="12"/>
  <c r="U18" i="12" s="1"/>
  <c r="AA20" i="12"/>
  <c r="AA21" i="12"/>
  <c r="AA2" i="12"/>
  <c r="AA39" i="12"/>
  <c r="T25" i="12"/>
  <c r="U25" i="12" s="1"/>
  <c r="T43" i="12"/>
  <c r="U43" i="12" s="1"/>
  <c r="AA33" i="12"/>
  <c r="T2" i="12"/>
  <c r="U2" i="12" s="1"/>
  <c r="AA25" i="12"/>
  <c r="T41" i="12"/>
  <c r="U41" i="12" s="1"/>
  <c r="AA32" i="12"/>
  <c r="T20" i="12"/>
  <c r="U20" i="12" s="1"/>
  <c r="AA42" i="12"/>
  <c r="AA46" i="12"/>
  <c r="AA37" i="12"/>
  <c r="T21" i="12"/>
  <c r="U21" i="12" s="1"/>
  <c r="AA45" i="12"/>
  <c r="T19" i="12"/>
  <c r="U19" i="12" s="1"/>
  <c r="T26" i="12"/>
  <c r="U26" i="12" s="1"/>
  <c r="T33" i="12"/>
  <c r="U33" i="12" s="1"/>
  <c r="T45" i="12"/>
  <c r="U45" i="12" s="1"/>
  <c r="T46" i="12"/>
  <c r="U46" i="12" s="1"/>
  <c r="T36" i="12"/>
  <c r="U36" i="12" s="1"/>
  <c r="AA35" i="12"/>
  <c r="AA23" i="12"/>
  <c r="T23" i="12"/>
  <c r="U23" i="12" s="1"/>
  <c r="AA28" i="12"/>
  <c r="T24" i="12"/>
  <c r="U24" i="12" s="1"/>
  <c r="AA30" i="12"/>
  <c r="AA40" i="12"/>
  <c r="T38" i="12"/>
  <c r="U38" i="12" s="1"/>
  <c r="T40" i="12"/>
  <c r="U40" i="12" s="1"/>
  <c r="AA22" i="12"/>
  <c r="T42" i="12"/>
  <c r="U42" i="12" s="1"/>
  <c r="AA34" i="12"/>
  <c r="AA41" i="12"/>
  <c r="T28" i="12"/>
  <c r="U28" i="12" s="1"/>
  <c r="T29" i="12"/>
  <c r="U29" i="12" s="1"/>
  <c r="AA38" i="12"/>
  <c r="AA17" i="12"/>
  <c r="AA19" i="12"/>
  <c r="T30" i="12"/>
  <c r="U30" i="12" s="1"/>
  <c r="AA24" i="12"/>
  <c r="AA36" i="12"/>
  <c r="T22" i="12"/>
  <c r="U22" i="12" s="1"/>
  <c r="T44" i="12"/>
  <c r="U44" i="12" s="1"/>
  <c r="T35" i="12"/>
  <c r="U35" i="12" s="1"/>
  <c r="AA16" i="12"/>
  <c r="AA44" i="12"/>
  <c r="AA29" i="12"/>
  <c r="T34" i="12"/>
  <c r="U34" i="12" s="1"/>
  <c r="C23" i="12"/>
  <c r="W23" i="12"/>
  <c r="B23" i="12"/>
  <c r="D23" i="12"/>
  <c r="I24" i="12"/>
  <c r="E23" i="12"/>
  <c r="A23" i="12"/>
  <c r="G22" i="12"/>
  <c r="H22" i="12" s="1"/>
  <c r="V22" i="12" s="1"/>
  <c r="L22" i="12"/>
  <c r="B22" i="13" s="1"/>
  <c r="A31" i="11"/>
  <c r="N2" i="11"/>
  <c r="G23" i="12" l="1"/>
  <c r="H23" i="12" s="1"/>
  <c r="V23" i="12" s="1"/>
  <c r="L23" i="12"/>
  <c r="B23" i="13" s="1"/>
  <c r="E24" i="12"/>
  <c r="W24" i="12"/>
  <c r="D24" i="12"/>
  <c r="I25" i="12"/>
  <c r="B24" i="12"/>
  <c r="C24" i="12"/>
  <c r="A24" i="12"/>
  <c r="A33" i="11"/>
  <c r="O2" i="11"/>
  <c r="L24" i="12" l="1"/>
  <c r="B24" i="13" s="1"/>
  <c r="G24" i="12"/>
  <c r="H24" i="12" s="1"/>
  <c r="V24" i="12" s="1"/>
  <c r="B25" i="12"/>
  <c r="C25" i="12"/>
  <c r="I26" i="12"/>
  <c r="D25" i="12"/>
  <c r="A25" i="12"/>
  <c r="W25" i="12"/>
  <c r="E25" i="12"/>
  <c r="P2" i="11"/>
  <c r="A35" i="11"/>
  <c r="W26" i="12" l="1"/>
  <c r="B26" i="12"/>
  <c r="E26" i="12"/>
  <c r="A26" i="12"/>
  <c r="C26" i="12"/>
  <c r="D26" i="12"/>
  <c r="I27" i="12"/>
  <c r="L25" i="12"/>
  <c r="B25" i="13" s="1"/>
  <c r="G25" i="12"/>
  <c r="H25" i="12" s="1"/>
  <c r="V25" i="12" s="1"/>
  <c r="A37" i="11"/>
  <c r="Q2" i="11"/>
  <c r="R2" i="11" s="1"/>
  <c r="S2" i="11" s="1"/>
  <c r="T2" i="11" s="1"/>
  <c r="U2" i="11" s="1"/>
  <c r="V2" i="11" s="1"/>
  <c r="W2" i="11" s="1"/>
  <c r="X2" i="11" s="1"/>
  <c r="Y2" i="11" s="1"/>
  <c r="Z2" i="11" s="1"/>
  <c r="AA2" i="11" s="1"/>
  <c r="AB2" i="11" s="1"/>
  <c r="AC2" i="11" s="1"/>
  <c r="AD2" i="11" s="1"/>
  <c r="AE2" i="11" s="1"/>
  <c r="AF2" i="11" s="1"/>
  <c r="AG2" i="11" s="1"/>
  <c r="AH2" i="11" s="1"/>
  <c r="AI2" i="11" s="1"/>
  <c r="AJ2" i="11" s="1"/>
  <c r="AK2" i="11" s="1"/>
  <c r="AL2" i="11" s="1"/>
  <c r="AM2" i="11" s="1"/>
  <c r="AN2" i="11" s="1"/>
  <c r="AO2" i="11" s="1"/>
  <c r="AP2" i="11" s="1"/>
  <c r="AQ2" i="11" s="1"/>
  <c r="AR2" i="11" s="1"/>
  <c r="AS2" i="11" s="1"/>
  <c r="AT2" i="11" s="1"/>
  <c r="G26" i="12" l="1"/>
  <c r="H26" i="12" s="1"/>
  <c r="V26" i="12" s="1"/>
  <c r="L26" i="12"/>
  <c r="B26" i="13" s="1"/>
  <c r="B27" i="12"/>
  <c r="D27" i="12"/>
  <c r="I28" i="12"/>
  <c r="C27" i="12"/>
  <c r="E27" i="12"/>
  <c r="A27" i="12"/>
  <c r="W27" i="12"/>
  <c r="AC1" i="11"/>
  <c r="AG1" i="11"/>
  <c r="AE1" i="11"/>
  <c r="M1" i="11"/>
  <c r="J1" i="11"/>
  <c r="T1" i="11"/>
  <c r="AN1" i="11"/>
  <c r="AT1" i="11"/>
  <c r="AF1" i="11"/>
  <c r="N1" i="11"/>
  <c r="U1" i="11"/>
  <c r="P1" i="11"/>
  <c r="AP1" i="11"/>
  <c r="AH1" i="11"/>
  <c r="AR1" i="11"/>
  <c r="H1" i="11"/>
  <c r="Q1" i="11"/>
  <c r="AA1" i="11"/>
  <c r="AJ1" i="11"/>
  <c r="Y1" i="11"/>
  <c r="Z1" i="11"/>
  <c r="AQ1" i="11"/>
  <c r="AO1" i="11"/>
  <c r="S1" i="11"/>
  <c r="O1" i="11"/>
  <c r="AS1" i="11"/>
  <c r="AD1" i="11"/>
  <c r="AM1" i="11"/>
  <c r="R1" i="11"/>
  <c r="AI1" i="11"/>
  <c r="AB1" i="11"/>
  <c r="W1" i="11"/>
  <c r="I1" i="11"/>
  <c r="L1" i="11"/>
  <c r="X1" i="11"/>
  <c r="K1" i="11"/>
  <c r="AK1" i="11"/>
  <c r="V1" i="11"/>
  <c r="AL1" i="11"/>
  <c r="A10" i="11"/>
  <c r="A12" i="11"/>
  <c r="G27" i="12" l="1"/>
  <c r="H27" i="12" s="1"/>
  <c r="V27" i="12" s="1"/>
  <c r="L27" i="12"/>
  <c r="B27" i="13" s="1"/>
  <c r="B28" i="12"/>
  <c r="C28" i="12"/>
  <c r="A28" i="12"/>
  <c r="I29" i="12"/>
  <c r="E28" i="12"/>
  <c r="W28" i="12"/>
  <c r="D28" i="12"/>
  <c r="G28" i="12" l="1"/>
  <c r="H28" i="12" s="1"/>
  <c r="V28" i="12" s="1"/>
  <c r="L28" i="12"/>
  <c r="B28" i="13" s="1"/>
  <c r="D29" i="12"/>
  <c r="I30" i="12"/>
  <c r="A29" i="12"/>
  <c r="C29" i="12"/>
  <c r="E29" i="12"/>
  <c r="B29" i="12"/>
  <c r="W29" i="12"/>
  <c r="A30" i="12" l="1"/>
  <c r="W30" i="12"/>
  <c r="C30" i="12"/>
  <c r="E30" i="12"/>
  <c r="B30" i="12"/>
  <c r="D30" i="12"/>
  <c r="I31" i="12"/>
  <c r="G29" i="12"/>
  <c r="H29" i="12" s="1"/>
  <c r="V29" i="12" s="1"/>
  <c r="L29" i="12"/>
  <c r="B29" i="13" s="1"/>
  <c r="C31" i="12" l="1"/>
  <c r="D31" i="12"/>
  <c r="W31" i="12"/>
  <c r="B31" i="12"/>
  <c r="E31" i="12"/>
  <c r="A31" i="12"/>
  <c r="I32" i="12"/>
  <c r="L30" i="12"/>
  <c r="B30" i="13" s="1"/>
  <c r="G30" i="12"/>
  <c r="H30" i="12" s="1"/>
  <c r="V30" i="12" s="1"/>
  <c r="L31" i="12" l="1"/>
  <c r="B31" i="13" s="1"/>
  <c r="G31" i="12"/>
  <c r="H31" i="12" s="1"/>
  <c r="V31" i="12" s="1"/>
  <c r="I33" i="12"/>
  <c r="D32" i="12"/>
  <c r="C32" i="12"/>
  <c r="E32" i="12"/>
  <c r="A32" i="12"/>
  <c r="B32" i="12"/>
  <c r="W32" i="12"/>
  <c r="L32" i="12" l="1"/>
  <c r="B32" i="13" s="1"/>
  <c r="G32" i="12"/>
  <c r="H32" i="12" s="1"/>
  <c r="V32" i="12" s="1"/>
  <c r="B33" i="12"/>
  <c r="D33" i="12"/>
  <c r="A33" i="12"/>
  <c r="E33" i="12"/>
  <c r="I34" i="12"/>
  <c r="C33" i="12"/>
  <c r="W33" i="12"/>
  <c r="W34" i="12" l="1"/>
  <c r="I35" i="12"/>
  <c r="C34" i="12"/>
  <c r="D34" i="12"/>
  <c r="E34" i="12"/>
  <c r="B34" i="12"/>
  <c r="A34" i="12"/>
  <c r="G33" i="12"/>
  <c r="H33" i="12" s="1"/>
  <c r="V33" i="12" s="1"/>
  <c r="L33" i="12"/>
  <c r="B33" i="13" s="1"/>
  <c r="L34" i="12" l="1"/>
  <c r="B34" i="13" s="1"/>
  <c r="G34" i="12"/>
  <c r="H34" i="12" s="1"/>
  <c r="V34" i="12" s="1"/>
  <c r="C35" i="12"/>
  <c r="W35" i="12"/>
  <c r="A35" i="12"/>
  <c r="D35" i="12"/>
  <c r="E35" i="12"/>
  <c r="B35" i="12"/>
  <c r="I36" i="12"/>
  <c r="L35" i="12" l="1"/>
  <c r="B35" i="13" s="1"/>
  <c r="G35" i="12"/>
  <c r="H35" i="12" s="1"/>
  <c r="V35" i="12" s="1"/>
  <c r="D36" i="12"/>
  <c r="W36" i="12"/>
  <c r="B36" i="12"/>
  <c r="A36" i="12"/>
  <c r="E36" i="12"/>
  <c r="C36" i="12"/>
  <c r="I37" i="12"/>
  <c r="C37" i="12" l="1"/>
  <c r="W37" i="12"/>
  <c r="I38" i="12"/>
  <c r="D37" i="12"/>
  <c r="B37" i="12"/>
  <c r="E37" i="12"/>
  <c r="A37" i="12"/>
  <c r="G36" i="12"/>
  <c r="H36" i="12" s="1"/>
  <c r="V36" i="12" s="1"/>
  <c r="L36" i="12"/>
  <c r="B36" i="13" s="1"/>
  <c r="L37" i="12" l="1"/>
  <c r="B37" i="13" s="1"/>
  <c r="G37" i="12"/>
  <c r="H37" i="12" s="1"/>
  <c r="V37" i="12" s="1"/>
  <c r="B38" i="12"/>
  <c r="C38" i="12"/>
  <c r="E38" i="12"/>
  <c r="D38" i="12"/>
  <c r="A38" i="12"/>
  <c r="W38" i="12"/>
  <c r="I39" i="12"/>
  <c r="W39" i="12" l="1"/>
  <c r="D39" i="12"/>
  <c r="I40" i="12"/>
  <c r="B39" i="12"/>
  <c r="C39" i="12"/>
  <c r="A39" i="12"/>
  <c r="E39" i="12"/>
  <c r="L38" i="12"/>
  <c r="B38" i="13" s="1"/>
  <c r="G38" i="12"/>
  <c r="H38" i="12" s="1"/>
  <c r="V38" i="12" s="1"/>
  <c r="B40" i="12" l="1"/>
  <c r="D40" i="12"/>
  <c r="E40" i="12"/>
  <c r="W40" i="12"/>
  <c r="C40" i="12"/>
  <c r="I41" i="12"/>
  <c r="A40" i="12"/>
  <c r="G39" i="12"/>
  <c r="H39" i="12" s="1"/>
  <c r="V39" i="12" s="1"/>
  <c r="L39" i="12"/>
  <c r="B39" i="13" s="1"/>
  <c r="G40" i="12" l="1"/>
  <c r="H40" i="12" s="1"/>
  <c r="V40" i="12" s="1"/>
  <c r="L40" i="12"/>
  <c r="B40" i="13" s="1"/>
  <c r="I42" i="12"/>
  <c r="D41" i="12"/>
  <c r="W41" i="12"/>
  <c r="C41" i="12"/>
  <c r="E41" i="12"/>
  <c r="B41" i="12"/>
  <c r="A41" i="12"/>
  <c r="G41" i="12" l="1"/>
  <c r="H41" i="12" s="1"/>
  <c r="V41" i="12" s="1"/>
  <c r="L41" i="12"/>
  <c r="B41" i="13" s="1"/>
  <c r="E42" i="12"/>
  <c r="I43" i="12"/>
  <c r="D42" i="12"/>
  <c r="C42" i="12"/>
  <c r="W42" i="12"/>
  <c r="A42" i="12"/>
  <c r="B42" i="12"/>
  <c r="G42" i="12" l="1"/>
  <c r="H42" i="12" s="1"/>
  <c r="V42" i="12" s="1"/>
  <c r="L42" i="12"/>
  <c r="B42" i="13" s="1"/>
  <c r="E43" i="12"/>
  <c r="B43" i="12"/>
  <c r="W43" i="12"/>
  <c r="C43" i="12"/>
  <c r="A43" i="12"/>
  <c r="D43" i="12"/>
  <c r="I44" i="12"/>
  <c r="B44" i="12" l="1"/>
  <c r="C44" i="12"/>
  <c r="I45" i="12"/>
  <c r="W44" i="12"/>
  <c r="A44" i="12"/>
  <c r="D44" i="12"/>
  <c r="E44" i="12"/>
  <c r="G43" i="12"/>
  <c r="H43" i="12" s="1"/>
  <c r="V43" i="12" s="1"/>
  <c r="L43" i="12"/>
  <c r="B43" i="13" s="1"/>
  <c r="W45" i="12" l="1"/>
  <c r="B45" i="12"/>
  <c r="C45" i="12"/>
  <c r="E45" i="12"/>
  <c r="D45" i="12"/>
  <c r="A45" i="12"/>
  <c r="I46" i="12"/>
  <c r="L44" i="12"/>
  <c r="B44" i="13" s="1"/>
  <c r="G44" i="12"/>
  <c r="H44" i="12" s="1"/>
  <c r="V44" i="12" s="1"/>
  <c r="C46" i="12" l="1"/>
  <c r="B46" i="12"/>
  <c r="W46" i="12"/>
  <c r="D46" i="12"/>
  <c r="E46" i="12"/>
  <c r="A46" i="12"/>
  <c r="I47" i="12"/>
  <c r="L45" i="12"/>
  <c r="B45" i="13" s="1"/>
  <c r="G45" i="12"/>
  <c r="H45" i="12" s="1"/>
  <c r="V45" i="12" s="1"/>
  <c r="W47" i="12" l="1"/>
  <c r="B19" i="11" s="1"/>
  <c r="C47" i="12"/>
  <c r="E47" i="12"/>
  <c r="D47" i="12"/>
  <c r="B47" i="12"/>
  <c r="A47" i="12"/>
  <c r="G46" i="12"/>
  <c r="H46" i="12" s="1"/>
  <c r="V46" i="12" s="1"/>
  <c r="L46" i="12"/>
  <c r="B46" i="13" s="1"/>
  <c r="E19" i="11" l="1"/>
  <c r="C19"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D19" i="11"/>
  <c r="B23" i="11"/>
  <c r="B31" i="11"/>
  <c r="C31" i="11" s="1"/>
  <c r="G32" i="11" s="1"/>
  <c r="G47" i="12"/>
  <c r="L47" i="12"/>
  <c r="B47" i="13" s="1"/>
  <c r="B21" i="11"/>
  <c r="B29" i="11"/>
  <c r="B35" i="11"/>
  <c r="B17" i="11"/>
  <c r="B33" i="11"/>
  <c r="B37" i="11"/>
  <c r="B25" i="11"/>
  <c r="B27" i="11"/>
  <c r="E23" i="11" l="1"/>
  <c r="C23" i="11"/>
  <c r="D23" i="11"/>
  <c r="E31" i="11"/>
  <c r="D31" i="11"/>
  <c r="E33" i="11"/>
  <c r="C33" i="11"/>
  <c r="G34" i="11" s="1"/>
  <c r="D33" i="11"/>
  <c r="C25" i="11"/>
  <c r="E25" i="11"/>
  <c r="D25" i="11"/>
  <c r="E35" i="11"/>
  <c r="D35" i="11"/>
  <c r="C35" i="11"/>
  <c r="D21" i="11"/>
  <c r="E21" i="11"/>
  <c r="C21" i="11"/>
  <c r="C27" i="11"/>
  <c r="D27" i="11"/>
  <c r="E27" i="11"/>
  <c r="E17" i="11"/>
  <c r="C17" i="11"/>
  <c r="D17" i="11"/>
  <c r="D37" i="11"/>
  <c r="E37" i="11"/>
  <c r="C37" i="11"/>
  <c r="G38" i="11" s="1"/>
  <c r="H38" i="11" s="1"/>
  <c r="I38" i="11" s="1"/>
  <c r="J38" i="11" s="1"/>
  <c r="K38" i="11" s="1"/>
  <c r="L38" i="11" s="1"/>
  <c r="M38" i="11" s="1"/>
  <c r="N38" i="11" s="1"/>
  <c r="O38" i="11" s="1"/>
  <c r="P38" i="11" s="1"/>
  <c r="Q38" i="11" s="1"/>
  <c r="R38" i="11" s="1"/>
  <c r="S38" i="11" s="1"/>
  <c r="T38" i="11" s="1"/>
  <c r="U38" i="11" s="1"/>
  <c r="V38" i="11" s="1"/>
  <c r="W38" i="11" s="1"/>
  <c r="X38" i="11" s="1"/>
  <c r="Y38" i="11" s="1"/>
  <c r="Z38" i="11" s="1"/>
  <c r="AA38" i="11" s="1"/>
  <c r="AB38" i="11" s="1"/>
  <c r="AC38" i="11" s="1"/>
  <c r="AD38" i="11" s="1"/>
  <c r="AE38" i="11" s="1"/>
  <c r="AF38" i="11" s="1"/>
  <c r="AG38" i="11" s="1"/>
  <c r="AH38" i="11" s="1"/>
  <c r="AI38" i="11" s="1"/>
  <c r="AJ38" i="11" s="1"/>
  <c r="AK38" i="11" s="1"/>
  <c r="AL38" i="11" s="1"/>
  <c r="AM38" i="11" s="1"/>
  <c r="AN38" i="11" s="1"/>
  <c r="AO38" i="11" s="1"/>
  <c r="AP38" i="11" s="1"/>
  <c r="AQ38" i="11" s="1"/>
  <c r="AR38" i="11" s="1"/>
  <c r="AS38" i="11" s="1"/>
  <c r="AT38" i="11" s="1"/>
  <c r="D29" i="11"/>
  <c r="E29" i="11"/>
  <c r="C29" i="11"/>
  <c r="U17" i="12"/>
  <c r="E15" i="11" s="1"/>
  <c r="H47" i="12"/>
  <c r="V47" i="12" s="1"/>
  <c r="U15" i="12"/>
  <c r="U16" i="12"/>
  <c r="E13" i="11" s="1"/>
  <c r="H19" i="11"/>
  <c r="AT19" i="11"/>
  <c r="K19" i="11"/>
  <c r="AP19" i="11"/>
  <c r="AO19" i="11"/>
  <c r="V19" i="11"/>
  <c r="P19" i="11"/>
  <c r="AK19" i="11"/>
  <c r="Z19" i="11"/>
  <c r="Q19" i="11"/>
  <c r="I19" i="11"/>
  <c r="U19" i="11"/>
  <c r="O19" i="11"/>
  <c r="AA19" i="11"/>
  <c r="AH19" i="11"/>
  <c r="AM19" i="11"/>
  <c r="AC19" i="11"/>
  <c r="M19" i="11"/>
  <c r="AS19" i="11"/>
  <c r="R19" i="11"/>
  <c r="S19" i="11"/>
  <c r="AL19" i="11"/>
  <c r="Y19" i="11"/>
  <c r="AR19" i="11"/>
  <c r="AG19" i="11"/>
  <c r="AQ19" i="11"/>
  <c r="AI19" i="11"/>
  <c r="N19" i="11"/>
  <c r="AB19" i="11"/>
  <c r="AJ19" i="11"/>
  <c r="J19" i="11"/>
  <c r="AD19" i="11"/>
  <c r="W19" i="11"/>
  <c r="L19" i="11"/>
  <c r="X19" i="11"/>
  <c r="G19" i="11"/>
  <c r="T19" i="11"/>
  <c r="AF19" i="11"/>
  <c r="AE19" i="11"/>
  <c r="AN19" i="11"/>
  <c r="G31" i="11"/>
  <c r="H32" i="11"/>
  <c r="I32" i="11" s="1"/>
  <c r="J32" i="11" s="1"/>
  <c r="K32" i="11" s="1"/>
  <c r="L32" i="11" s="1"/>
  <c r="M32" i="11" s="1"/>
  <c r="N32" i="11" s="1"/>
  <c r="O32" i="11" s="1"/>
  <c r="P32" i="11" s="1"/>
  <c r="Q32" i="11" s="1"/>
  <c r="R32" i="11" s="1"/>
  <c r="S32" i="11" s="1"/>
  <c r="T32" i="11" s="1"/>
  <c r="U32" i="11" s="1"/>
  <c r="V32" i="11" s="1"/>
  <c r="W32" i="11" s="1"/>
  <c r="X32" i="11" s="1"/>
  <c r="Y32" i="11" s="1"/>
  <c r="Z32" i="11" s="1"/>
  <c r="AA32" i="11" s="1"/>
  <c r="AB32" i="11" s="1"/>
  <c r="AC32" i="11" s="1"/>
  <c r="AD32" i="11" s="1"/>
  <c r="AE32" i="11" s="1"/>
  <c r="AF32" i="11" s="1"/>
  <c r="AG32" i="11" s="1"/>
  <c r="AH32" i="11" s="1"/>
  <c r="AI32" i="11" s="1"/>
  <c r="AJ32" i="11" s="1"/>
  <c r="AK32" i="11" s="1"/>
  <c r="AL32" i="11" s="1"/>
  <c r="AM32" i="11" s="1"/>
  <c r="AN32" i="11" s="1"/>
  <c r="AO32" i="11" s="1"/>
  <c r="AP32" i="11" s="1"/>
  <c r="AQ32" i="11" s="1"/>
  <c r="AR32" i="11" s="1"/>
  <c r="AS32" i="11" s="1"/>
  <c r="AT32" i="11" s="1"/>
  <c r="Y37" i="11" l="1"/>
  <c r="H34" i="11"/>
  <c r="I34" i="11" s="1"/>
  <c r="J34" i="11" s="1"/>
  <c r="K34" i="11" s="1"/>
  <c r="L34" i="11" s="1"/>
  <c r="M34" i="11" s="1"/>
  <c r="N34" i="11" s="1"/>
  <c r="O34" i="11" s="1"/>
  <c r="P34" i="11" s="1"/>
  <c r="Q34" i="11" s="1"/>
  <c r="R34" i="11" s="1"/>
  <c r="S34" i="11" s="1"/>
  <c r="T34" i="11" s="1"/>
  <c r="U34" i="11" s="1"/>
  <c r="V34" i="11" s="1"/>
  <c r="W34" i="11" s="1"/>
  <c r="X34" i="11" s="1"/>
  <c r="Y34" i="11" s="1"/>
  <c r="Z34" i="11" s="1"/>
  <c r="AA34" i="11" s="1"/>
  <c r="AB34" i="11" s="1"/>
  <c r="AC34" i="11" s="1"/>
  <c r="AD34" i="11" s="1"/>
  <c r="AE34" i="11" s="1"/>
  <c r="AF34" i="11" s="1"/>
  <c r="AG34" i="11" s="1"/>
  <c r="AH34" i="11" s="1"/>
  <c r="AI34" i="11" s="1"/>
  <c r="AJ34" i="11" s="1"/>
  <c r="AK34" i="11" s="1"/>
  <c r="AL34" i="11" s="1"/>
  <c r="AM34" i="11" s="1"/>
  <c r="AN34" i="11" s="1"/>
  <c r="AO34" i="11" s="1"/>
  <c r="AP34" i="11" s="1"/>
  <c r="AQ34" i="11" s="1"/>
  <c r="AR34" i="11" s="1"/>
  <c r="AS34" i="11" s="1"/>
  <c r="AT34" i="11" s="1"/>
  <c r="R37" i="11"/>
  <c r="G37" i="11"/>
  <c r="AB37" i="11"/>
  <c r="Z37" i="11"/>
  <c r="AG37" i="11"/>
  <c r="Q37" i="11"/>
  <c r="AP37" i="11"/>
  <c r="AI37" i="11"/>
  <c r="AR37" i="11"/>
  <c r="AJ37" i="11"/>
  <c r="G24" i="11"/>
  <c r="G33" i="11"/>
  <c r="M37" i="11"/>
  <c r="V37" i="11"/>
  <c r="E39" i="11"/>
  <c r="G30" i="11"/>
  <c r="G22" i="11"/>
  <c r="G21" i="11" s="1"/>
  <c r="G26" i="11"/>
  <c r="H26" i="11" s="1"/>
  <c r="I26" i="11" s="1"/>
  <c r="J26" i="11" s="1"/>
  <c r="K26" i="11" s="1"/>
  <c r="L26" i="11" s="1"/>
  <c r="M26" i="11" s="1"/>
  <c r="N26" i="11" s="1"/>
  <c r="O26" i="11" s="1"/>
  <c r="P26" i="11" s="1"/>
  <c r="Q26" i="11" s="1"/>
  <c r="R26" i="11" s="1"/>
  <c r="S26" i="11" s="1"/>
  <c r="T26" i="11" s="1"/>
  <c r="U26" i="11" s="1"/>
  <c r="V26" i="11" s="1"/>
  <c r="W26" i="11" s="1"/>
  <c r="X26" i="11" s="1"/>
  <c r="Y26" i="11" s="1"/>
  <c r="Z26" i="11" s="1"/>
  <c r="AA26" i="11" s="1"/>
  <c r="AB26" i="11" s="1"/>
  <c r="AC26" i="11" s="1"/>
  <c r="AD26" i="11" s="1"/>
  <c r="AE26" i="11" s="1"/>
  <c r="AF26" i="11" s="1"/>
  <c r="AG26" i="11" s="1"/>
  <c r="AH26" i="11" s="1"/>
  <c r="AI26" i="11" s="1"/>
  <c r="AJ26" i="11" s="1"/>
  <c r="AK26" i="11" s="1"/>
  <c r="AL26" i="11" s="1"/>
  <c r="AM26" i="11" s="1"/>
  <c r="AN26" i="11" s="1"/>
  <c r="AO26" i="11" s="1"/>
  <c r="AP26" i="11" s="1"/>
  <c r="AQ26" i="11" s="1"/>
  <c r="AR26" i="11" s="1"/>
  <c r="AS26" i="11" s="1"/>
  <c r="AT26" i="11" s="1"/>
  <c r="AM37" i="11"/>
  <c r="U37" i="11"/>
  <c r="W37" i="11"/>
  <c r="J37" i="11"/>
  <c r="AK37" i="11"/>
  <c r="AA37" i="11"/>
  <c r="H37" i="11"/>
  <c r="AL37" i="11"/>
  <c r="AF14" i="11"/>
  <c r="H14" i="11"/>
  <c r="L14" i="11"/>
  <c r="AT14" i="11"/>
  <c r="W14" i="11"/>
  <c r="AQ14" i="11"/>
  <c r="O14" i="11"/>
  <c r="N14" i="11"/>
  <c r="AB14" i="11"/>
  <c r="AH14" i="11"/>
  <c r="U14" i="11"/>
  <c r="AO14" i="11"/>
  <c r="AP14" i="11"/>
  <c r="S14" i="11"/>
  <c r="Q14" i="11"/>
  <c r="AL14" i="11"/>
  <c r="AE14" i="11"/>
  <c r="AJ14" i="11"/>
  <c r="AC14" i="11"/>
  <c r="AI14" i="11"/>
  <c r="AK14" i="11"/>
  <c r="AD14" i="11"/>
  <c r="P14" i="11"/>
  <c r="AG14" i="11"/>
  <c r="X14" i="11"/>
  <c r="G14" i="11"/>
  <c r="J14" i="11"/>
  <c r="Y14" i="11"/>
  <c r="T14" i="11"/>
  <c r="AS14" i="11"/>
  <c r="AM14" i="11"/>
  <c r="AN14" i="11"/>
  <c r="Z14" i="11"/>
  <c r="AA14" i="11"/>
  <c r="G18" i="11"/>
  <c r="I14" i="11"/>
  <c r="AR14" i="11"/>
  <c r="M14" i="11"/>
  <c r="V14" i="11"/>
  <c r="R14" i="11"/>
  <c r="K14" i="11"/>
  <c r="K41" i="11" s="1" a="1"/>
  <c r="K41" i="11" s="1"/>
  <c r="G28" i="11"/>
  <c r="H28" i="11" s="1"/>
  <c r="I28" i="11" s="1"/>
  <c r="J28" i="11" s="1"/>
  <c r="K28" i="11" s="1"/>
  <c r="L28" i="11" s="1"/>
  <c r="M28" i="11" s="1"/>
  <c r="N28" i="11" s="1"/>
  <c r="O28" i="11" s="1"/>
  <c r="P28" i="11" s="1"/>
  <c r="Q28" i="11" s="1"/>
  <c r="R28" i="11" s="1"/>
  <c r="S28" i="11" s="1"/>
  <c r="T28" i="11" s="1"/>
  <c r="U28" i="11" s="1"/>
  <c r="V28" i="11" s="1"/>
  <c r="W28" i="11" s="1"/>
  <c r="X28" i="11" s="1"/>
  <c r="Y28" i="11" s="1"/>
  <c r="Z28" i="11" s="1"/>
  <c r="AA28" i="11" s="1"/>
  <c r="AB28" i="11" s="1"/>
  <c r="AC28" i="11" s="1"/>
  <c r="AD28" i="11" s="1"/>
  <c r="AE28" i="11" s="1"/>
  <c r="AF28" i="11" s="1"/>
  <c r="AG28" i="11" s="1"/>
  <c r="AH28" i="11" s="1"/>
  <c r="AI28" i="11" s="1"/>
  <c r="AJ28" i="11" s="1"/>
  <c r="AK28" i="11" s="1"/>
  <c r="AL28" i="11" s="1"/>
  <c r="AM28" i="11" s="1"/>
  <c r="AN28" i="11" s="1"/>
  <c r="AO28" i="11" s="1"/>
  <c r="AP28" i="11" s="1"/>
  <c r="AQ28" i="11" s="1"/>
  <c r="AR28" i="11" s="1"/>
  <c r="AS28" i="11" s="1"/>
  <c r="AT28" i="11" s="1"/>
  <c r="G36" i="11"/>
  <c r="AS31" i="11"/>
  <c r="O31" i="11"/>
  <c r="AF31" i="11"/>
  <c r="H31" i="11"/>
  <c r="L31" i="11"/>
  <c r="AO31" i="11"/>
  <c r="T31" i="11"/>
  <c r="AR31" i="11"/>
  <c r="J31" i="11"/>
  <c r="W31" i="11"/>
  <c r="AQ31" i="11"/>
  <c r="K31" i="11"/>
  <c r="AB31" i="11"/>
  <c r="N31" i="11"/>
  <c r="S31" i="11"/>
  <c r="I31" i="11"/>
  <c r="AC31" i="11"/>
  <c r="AT31" i="11"/>
  <c r="M31" i="11"/>
  <c r="T37" i="11"/>
  <c r="O37" i="11"/>
  <c r="AN37" i="11"/>
  <c r="P37" i="11"/>
  <c r="X37" i="11"/>
  <c r="AO37" i="11"/>
  <c r="AF37" i="11"/>
  <c r="I37" i="11"/>
  <c r="AD37" i="11"/>
  <c r="AQ37" i="11"/>
  <c r="V31" i="11"/>
  <c r="AK31" i="11"/>
  <c r="AE31" i="11"/>
  <c r="AP31" i="11"/>
  <c r="AN31" i="11"/>
  <c r="U31" i="11"/>
  <c r="P31" i="11"/>
  <c r="AA31" i="11"/>
  <c r="AD31" i="11"/>
  <c r="R31" i="11"/>
  <c r="AI31" i="11"/>
  <c r="AJ31" i="11"/>
  <c r="X31" i="11"/>
  <c r="AM31" i="11"/>
  <c r="Z31" i="11"/>
  <c r="AL31" i="11"/>
  <c r="Y31" i="11"/>
  <c r="AG31" i="11"/>
  <c r="AH31" i="11"/>
  <c r="Q31" i="11"/>
  <c r="S37" i="11"/>
  <c r="L37" i="11"/>
  <c r="AH37" i="11"/>
  <c r="AS37" i="11"/>
  <c r="N37" i="11"/>
  <c r="K37" i="11"/>
  <c r="AC37" i="11"/>
  <c r="AT37" i="11"/>
  <c r="AE37" i="11"/>
  <c r="T41" i="11" l="1" a="1"/>
  <c r="T41" i="11" s="1"/>
  <c r="X41" i="11" a="1"/>
  <c r="X41" i="11" s="1"/>
  <c r="X42" i="11" s="1"/>
  <c r="T33" i="11"/>
  <c r="AM33" i="11"/>
  <c r="AM41" i="11" a="1"/>
  <c r="AM41" i="11" s="1"/>
  <c r="AM42" i="11" s="1"/>
  <c r="J41" i="11" a="1"/>
  <c r="J41" i="11" s="1"/>
  <c r="K39" i="11" s="1"/>
  <c r="K40" i="11" s="1"/>
  <c r="P41" i="11" a="1"/>
  <c r="P41" i="11" s="1"/>
  <c r="P42" i="11" s="1"/>
  <c r="AC33" i="11"/>
  <c r="AC41" i="11" a="1"/>
  <c r="AC41" i="11" s="1"/>
  <c r="AC42" i="11" s="1"/>
  <c r="Q41" i="11" a="1"/>
  <c r="Q41" i="11" s="1"/>
  <c r="Q42" i="11" s="1"/>
  <c r="U41" i="11" a="1"/>
  <c r="U41" i="11" s="1"/>
  <c r="U42" i="11" s="1"/>
  <c r="O41" i="11" a="1"/>
  <c r="O41" i="11" s="1"/>
  <c r="O42" i="11" s="1"/>
  <c r="AR33" i="11"/>
  <c r="R33" i="11"/>
  <c r="AE33" i="11"/>
  <c r="AB33" i="11"/>
  <c r="AJ33" i="11"/>
  <c r="Z33" i="11"/>
  <c r="AD33" i="11"/>
  <c r="H33" i="11"/>
  <c r="AO33" i="11"/>
  <c r="L33" i="11"/>
  <c r="S33" i="11"/>
  <c r="I33" i="11"/>
  <c r="AP33" i="11"/>
  <c r="AL33" i="11"/>
  <c r="AK41" i="11" a="1"/>
  <c r="AK41" i="11" s="1"/>
  <c r="AK42" i="11" s="1"/>
  <c r="AE41" i="11" a="1"/>
  <c r="AE41" i="11" s="1"/>
  <c r="AE42" i="11" s="1"/>
  <c r="N33" i="11"/>
  <c r="AF33" i="11"/>
  <c r="AS33" i="11"/>
  <c r="AQ33" i="11"/>
  <c r="O33" i="11"/>
  <c r="AK33" i="11"/>
  <c r="P33" i="11"/>
  <c r="Y33" i="11"/>
  <c r="AI33" i="11"/>
  <c r="AA33" i="11"/>
  <c r="U33" i="11"/>
  <c r="W33" i="11"/>
  <c r="AN33" i="11"/>
  <c r="AH33" i="11"/>
  <c r="K33" i="11"/>
  <c r="M33" i="11"/>
  <c r="X33" i="11"/>
  <c r="AG33" i="11"/>
  <c r="V33" i="11"/>
  <c r="Q33" i="11"/>
  <c r="AT33" i="11"/>
  <c r="J33" i="11"/>
  <c r="R41" i="11" a="1"/>
  <c r="R41" i="11" s="1"/>
  <c r="R42" i="11" s="1"/>
  <c r="I41" i="11" a="1"/>
  <c r="I41" i="11" s="1"/>
  <c r="AN41" i="11" a="1"/>
  <c r="AN41" i="11" s="1"/>
  <c r="AN42" i="11" s="1"/>
  <c r="Y41" i="11" a="1"/>
  <c r="Y41" i="11" s="1"/>
  <c r="Y39" i="11" s="1"/>
  <c r="Y40" i="11" s="1"/>
  <c r="AI41" i="11" a="1"/>
  <c r="AI41" i="11" s="1"/>
  <c r="AI42" i="11" s="1"/>
  <c r="AL41" i="11" a="1"/>
  <c r="AL41" i="11" s="1"/>
  <c r="AL42" i="11" s="1"/>
  <c r="AO41" i="11" a="1"/>
  <c r="AO41" i="11" s="1"/>
  <c r="AO39" i="11" s="1"/>
  <c r="AO40" i="11" s="1"/>
  <c r="N41" i="11" a="1"/>
  <c r="N41" i="11" s="1"/>
  <c r="N42" i="11" s="1"/>
  <c r="AT41" i="11" a="1"/>
  <c r="AT41" i="11" s="1"/>
  <c r="AT42" i="11" s="1"/>
  <c r="M41" i="11" a="1"/>
  <c r="M41" i="11" s="1"/>
  <c r="M42" i="11" s="1"/>
  <c r="AA41" i="11" a="1"/>
  <c r="AA41" i="11" s="1"/>
  <c r="AA42" i="11" s="1"/>
  <c r="AS41" i="11" a="1"/>
  <c r="AS41" i="11" s="1"/>
  <c r="AS42" i="11" s="1"/>
  <c r="G41" i="11" a="1"/>
  <c r="G41" i="11" s="1"/>
  <c r="G39" i="11" s="1"/>
  <c r="G40" i="11" s="1"/>
  <c r="AD41" i="11" a="1"/>
  <c r="AD41" i="11" s="1"/>
  <c r="S41" i="11" a="1"/>
  <c r="S41" i="11" s="1"/>
  <c r="T39" i="11" s="1"/>
  <c r="T40" i="11" s="1"/>
  <c r="AH41" i="11" a="1"/>
  <c r="AH41" i="11" s="1"/>
  <c r="AQ41" i="11" a="1"/>
  <c r="AQ41" i="11" s="1"/>
  <c r="AQ42" i="11" s="1"/>
  <c r="H41" i="11" a="1"/>
  <c r="H41" i="11" s="1"/>
  <c r="H42" i="11" s="1"/>
  <c r="G23" i="11"/>
  <c r="H22" i="11"/>
  <c r="H24" i="11"/>
  <c r="I24" i="11" s="1"/>
  <c r="J24" i="11" s="1"/>
  <c r="K24" i="11" s="1"/>
  <c r="L24" i="11" s="1"/>
  <c r="M24" i="11" s="1"/>
  <c r="N24" i="11" s="1"/>
  <c r="O24" i="11" s="1"/>
  <c r="P24" i="11" s="1"/>
  <c r="Q24" i="11" s="1"/>
  <c r="R24" i="11" s="1"/>
  <c r="S24" i="11" s="1"/>
  <c r="T24" i="11" s="1"/>
  <c r="U24" i="11" s="1"/>
  <c r="V24" i="11" s="1"/>
  <c r="W24" i="11" s="1"/>
  <c r="X24" i="11" s="1"/>
  <c r="Y24" i="11" s="1"/>
  <c r="Z24" i="11" s="1"/>
  <c r="AA24" i="11" s="1"/>
  <c r="AB24" i="11" s="1"/>
  <c r="AC24" i="11" s="1"/>
  <c r="AD24" i="11" s="1"/>
  <c r="AE24" i="11" s="1"/>
  <c r="AF24" i="11" s="1"/>
  <c r="AG24" i="11" s="1"/>
  <c r="AH24" i="11" s="1"/>
  <c r="AI24" i="11" s="1"/>
  <c r="AJ24" i="11" s="1"/>
  <c r="AK24" i="11" s="1"/>
  <c r="AL24" i="11" s="1"/>
  <c r="AM24" i="11" s="1"/>
  <c r="AN24" i="11" s="1"/>
  <c r="AO24" i="11" s="1"/>
  <c r="AP24" i="11" s="1"/>
  <c r="AQ24" i="11" s="1"/>
  <c r="AR24" i="11" s="1"/>
  <c r="AS24" i="11" s="1"/>
  <c r="AT24" i="11" s="1"/>
  <c r="T42" i="11"/>
  <c r="G35" i="11"/>
  <c r="G29" i="11"/>
  <c r="H36" i="11"/>
  <c r="I36" i="11" s="1"/>
  <c r="J36" i="11" s="1"/>
  <c r="K36" i="11" s="1"/>
  <c r="L36" i="11" s="1"/>
  <c r="M36" i="11" s="1"/>
  <c r="N36" i="11" s="1"/>
  <c r="O36" i="11" s="1"/>
  <c r="P36" i="11" s="1"/>
  <c r="Q36" i="11" s="1"/>
  <c r="R36" i="11" s="1"/>
  <c r="S36" i="11" s="1"/>
  <c r="T36" i="11" s="1"/>
  <c r="U36" i="11" s="1"/>
  <c r="V36" i="11" s="1"/>
  <c r="W36" i="11" s="1"/>
  <c r="X36" i="11" s="1"/>
  <c r="Y36" i="11" s="1"/>
  <c r="Z36" i="11" s="1"/>
  <c r="AA36" i="11" s="1"/>
  <c r="AB36" i="11" s="1"/>
  <c r="AC36" i="11" s="1"/>
  <c r="AD36" i="11" s="1"/>
  <c r="AE36" i="11" s="1"/>
  <c r="AF36" i="11" s="1"/>
  <c r="AG36" i="11" s="1"/>
  <c r="AH36" i="11" s="1"/>
  <c r="AI36" i="11" s="1"/>
  <c r="AJ36" i="11" s="1"/>
  <c r="AK36" i="11" s="1"/>
  <c r="AL36" i="11" s="1"/>
  <c r="AM36" i="11" s="1"/>
  <c r="AN36" i="11" s="1"/>
  <c r="AO36" i="11" s="1"/>
  <c r="AP36" i="11" s="1"/>
  <c r="AQ36" i="11" s="1"/>
  <c r="AR36" i="11" s="1"/>
  <c r="AS36" i="11" s="1"/>
  <c r="AT36" i="11" s="1"/>
  <c r="AR41" i="11" a="1"/>
  <c r="AR41" i="11" s="1"/>
  <c r="Z41" i="11" a="1"/>
  <c r="Z41" i="11" s="1"/>
  <c r="T13" i="11"/>
  <c r="R13" i="11"/>
  <c r="AD13" i="11"/>
  <c r="AT13" i="11"/>
  <c r="Q13" i="11"/>
  <c r="AF13" i="11"/>
  <c r="S13" i="11"/>
  <c r="X13" i="11"/>
  <c r="H13" i="11"/>
  <c r="N13" i="11"/>
  <c r="AJ13" i="11"/>
  <c r="AN13" i="11"/>
  <c r="W13" i="11"/>
  <c r="Z13" i="11"/>
  <c r="AP13" i="11"/>
  <c r="AO13" i="11"/>
  <c r="J13" i="11"/>
  <c r="AA13" i="11"/>
  <c r="AC13" i="11"/>
  <c r="AM13" i="11"/>
  <c r="Y13" i="11"/>
  <c r="AL13" i="11"/>
  <c r="P13" i="11"/>
  <c r="AQ13" i="11"/>
  <c r="AG13" i="11"/>
  <c r="AK13" i="11"/>
  <c r="L13" i="11"/>
  <c r="U13" i="11"/>
  <c r="AH13" i="11"/>
  <c r="G13" i="11"/>
  <c r="AI13" i="11"/>
  <c r="AE13" i="11"/>
  <c r="O13" i="11"/>
  <c r="AR13" i="11"/>
  <c r="AB13" i="11"/>
  <c r="M13" i="11"/>
  <c r="AS13" i="11"/>
  <c r="K13" i="11"/>
  <c r="I13" i="11"/>
  <c r="V13" i="11"/>
  <c r="AJ41" i="11" a="1"/>
  <c r="AJ41" i="11" s="1"/>
  <c r="L41" i="11" a="1"/>
  <c r="L41" i="11" s="1"/>
  <c r="AG25" i="11"/>
  <c r="AJ25" i="11"/>
  <c r="AF25" i="11"/>
  <c r="AQ25" i="11"/>
  <c r="AS25" i="11"/>
  <c r="AA25" i="11"/>
  <c r="I25" i="11"/>
  <c r="G25" i="11"/>
  <c r="Z25" i="11"/>
  <c r="P25" i="11"/>
  <c r="AK25" i="11"/>
  <c r="AL25" i="11"/>
  <c r="W25" i="11"/>
  <c r="AN25" i="11"/>
  <c r="Q25" i="11"/>
  <c r="AB25" i="11"/>
  <c r="V25" i="11"/>
  <c r="L25" i="11"/>
  <c r="O25" i="11"/>
  <c r="T25" i="11"/>
  <c r="Y25" i="11"/>
  <c r="AP25" i="11"/>
  <c r="AO25" i="11"/>
  <c r="AT25" i="11"/>
  <c r="X25" i="11"/>
  <c r="AH25" i="11"/>
  <c r="AE25" i="11"/>
  <c r="S25" i="11"/>
  <c r="N25" i="11"/>
  <c r="AM25" i="11"/>
  <c r="R25" i="11"/>
  <c r="AC25" i="11"/>
  <c r="AR25" i="11"/>
  <c r="U25" i="11"/>
  <c r="M25" i="11"/>
  <c r="AD25" i="11"/>
  <c r="J25" i="11"/>
  <c r="H25" i="11"/>
  <c r="AI25" i="11"/>
  <c r="K25" i="11"/>
  <c r="H30" i="11"/>
  <c r="I30" i="11" s="1"/>
  <c r="J30" i="11" s="1"/>
  <c r="K30" i="11" s="1"/>
  <c r="L30" i="11" s="1"/>
  <c r="M30" i="11" s="1"/>
  <c r="N30" i="11" s="1"/>
  <c r="O30" i="11" s="1"/>
  <c r="P30" i="11" s="1"/>
  <c r="Q30" i="11" s="1"/>
  <c r="R30" i="11" s="1"/>
  <c r="S30" i="11" s="1"/>
  <c r="T30" i="11" s="1"/>
  <c r="U30" i="11" s="1"/>
  <c r="V30" i="11" s="1"/>
  <c r="W30" i="11" s="1"/>
  <c r="X30" i="11" s="1"/>
  <c r="Y30" i="11" s="1"/>
  <c r="Z30" i="11" s="1"/>
  <c r="AA30" i="11" s="1"/>
  <c r="AB30" i="11" s="1"/>
  <c r="AC30" i="11" s="1"/>
  <c r="AD30" i="11" s="1"/>
  <c r="AE30" i="11" s="1"/>
  <c r="AF30" i="11" s="1"/>
  <c r="AG30" i="11" s="1"/>
  <c r="AH30" i="11" s="1"/>
  <c r="AI30" i="11" s="1"/>
  <c r="AJ30" i="11" s="1"/>
  <c r="AK30" i="11" s="1"/>
  <c r="AL30" i="11" s="1"/>
  <c r="AM30" i="11" s="1"/>
  <c r="AN30" i="11" s="1"/>
  <c r="AO30" i="11" s="1"/>
  <c r="AP30" i="11" s="1"/>
  <c r="AQ30" i="11" s="1"/>
  <c r="AR30" i="11" s="1"/>
  <c r="AS30" i="11" s="1"/>
  <c r="AT30" i="11" s="1"/>
  <c r="K42" i="11"/>
  <c r="P27" i="11"/>
  <c r="AG27" i="11"/>
  <c r="R27" i="11"/>
  <c r="Y27" i="11"/>
  <c r="AC27" i="11"/>
  <c r="AK27" i="11"/>
  <c r="AH27" i="11"/>
  <c r="AD27" i="11"/>
  <c r="AE27" i="11"/>
  <c r="AM27" i="11"/>
  <c r="AT27" i="11"/>
  <c r="S27" i="11"/>
  <c r="AL27" i="11"/>
  <c r="AJ27" i="11"/>
  <c r="AO27" i="11"/>
  <c r="AQ27" i="11"/>
  <c r="G27" i="11"/>
  <c r="L27" i="11"/>
  <c r="W27" i="11"/>
  <c r="K27" i="11"/>
  <c r="AP27" i="11"/>
  <c r="X27" i="11"/>
  <c r="Z27" i="11"/>
  <c r="AA27" i="11"/>
  <c r="O27" i="11"/>
  <c r="AR27" i="11"/>
  <c r="V27" i="11"/>
  <c r="Q27" i="11"/>
  <c r="AB27" i="11"/>
  <c r="M27" i="11"/>
  <c r="T27" i="11"/>
  <c r="U27" i="11"/>
  <c r="N27" i="11"/>
  <c r="AS27" i="11"/>
  <c r="AF27" i="11"/>
  <c r="AN27" i="11"/>
  <c r="H27" i="11"/>
  <c r="J27" i="11"/>
  <c r="AI27" i="11"/>
  <c r="I27" i="11"/>
  <c r="V41" i="11" a="1"/>
  <c r="V41" i="11" s="1"/>
  <c r="G17" i="11"/>
  <c r="AG41" i="11" a="1"/>
  <c r="AG41" i="11" s="1"/>
  <c r="H18" i="11"/>
  <c r="I18" i="11" s="1"/>
  <c r="J18" i="11" s="1"/>
  <c r="K18" i="11" s="1"/>
  <c r="L18" i="11" s="1"/>
  <c r="M18" i="11" s="1"/>
  <c r="N18" i="11" s="1"/>
  <c r="O18" i="11" s="1"/>
  <c r="P18" i="11" s="1"/>
  <c r="Q18" i="11" s="1"/>
  <c r="R18" i="11" s="1"/>
  <c r="S18" i="11" s="1"/>
  <c r="T18" i="11" s="1"/>
  <c r="U18" i="11" s="1"/>
  <c r="V18" i="11" s="1"/>
  <c r="W18" i="11" s="1"/>
  <c r="X18" i="11" s="1"/>
  <c r="Y18" i="11" s="1"/>
  <c r="Z18" i="11" s="1"/>
  <c r="AA18" i="11" s="1"/>
  <c r="AB18" i="11" s="1"/>
  <c r="AC18" i="11" s="1"/>
  <c r="AD18" i="11" s="1"/>
  <c r="AE18" i="11" s="1"/>
  <c r="AF18" i="11" s="1"/>
  <c r="AG18" i="11" s="1"/>
  <c r="AH18" i="11" s="1"/>
  <c r="AI18" i="11" s="1"/>
  <c r="AJ18" i="11" s="1"/>
  <c r="AK18" i="11" s="1"/>
  <c r="AL18" i="11" s="1"/>
  <c r="AM18" i="11" s="1"/>
  <c r="AN18" i="11" s="1"/>
  <c r="AO18" i="11" s="1"/>
  <c r="AP18" i="11" s="1"/>
  <c r="AQ18" i="11" s="1"/>
  <c r="AR18" i="11" s="1"/>
  <c r="AS18" i="11" s="1"/>
  <c r="AT18" i="11" s="1"/>
  <c r="AP41" i="11" a="1"/>
  <c r="AP41" i="11" s="1"/>
  <c r="AB41" i="11" a="1"/>
  <c r="AB41" i="11" s="1"/>
  <c r="W41" i="11" a="1"/>
  <c r="W41" i="11" s="1"/>
  <c r="AF41" i="11" a="1"/>
  <c r="AF41" i="11" s="1"/>
  <c r="AC39" i="11" l="1"/>
  <c r="AC40" i="11" s="1"/>
  <c r="J42" i="11"/>
  <c r="J39" i="11"/>
  <c r="J40" i="11" s="1"/>
  <c r="AD39" i="11"/>
  <c r="AD40" i="11" s="1"/>
  <c r="R39" i="11"/>
  <c r="R40" i="11" s="1"/>
  <c r="U39" i="11"/>
  <c r="U40" i="11" s="1"/>
  <c r="Q39" i="11"/>
  <c r="Q40" i="11" s="1"/>
  <c r="P39" i="11"/>
  <c r="P40" i="11" s="1"/>
  <c r="AI39" i="11"/>
  <c r="AI40" i="11" s="1"/>
  <c r="AO42" i="11"/>
  <c r="S42" i="11"/>
  <c r="S39" i="11"/>
  <c r="S40" i="11" s="1"/>
  <c r="AN39" i="11"/>
  <c r="AN40" i="11" s="1"/>
  <c r="AE39" i="11"/>
  <c r="AE40" i="11" s="1"/>
  <c r="I42" i="11"/>
  <c r="AL39" i="11"/>
  <c r="AL40" i="11" s="1"/>
  <c r="N39" i="11"/>
  <c r="N40" i="11" s="1"/>
  <c r="AH42" i="11"/>
  <c r="AD42" i="11"/>
  <c r="G42" i="11"/>
  <c r="Y42" i="11"/>
  <c r="O39" i="11"/>
  <c r="O40" i="11" s="1"/>
  <c r="AT39" i="11"/>
  <c r="AT40" i="11" s="1"/>
  <c r="H39" i="11"/>
  <c r="H40" i="11" s="1"/>
  <c r="AR23" i="11"/>
  <c r="AO23" i="11"/>
  <c r="I39" i="11"/>
  <c r="I40" i="11" s="1"/>
  <c r="M39" i="11"/>
  <c r="M40" i="11" s="1"/>
  <c r="AM39" i="11"/>
  <c r="AM40" i="11" s="1"/>
  <c r="O23" i="11"/>
  <c r="AG23" i="11"/>
  <c r="L23" i="11"/>
  <c r="AB23" i="11"/>
  <c r="H23" i="11"/>
  <c r="AH39" i="11"/>
  <c r="AH40" i="11" s="1"/>
  <c r="Z23" i="11"/>
  <c r="AF23" i="11"/>
  <c r="AN29" i="11"/>
  <c r="P29" i="11"/>
  <c r="AK29" i="11"/>
  <c r="M29" i="11"/>
  <c r="AT29" i="11"/>
  <c r="AL23" i="11"/>
  <c r="AT23" i="11"/>
  <c r="AC23" i="11"/>
  <c r="X23" i="11"/>
  <c r="V23" i="11"/>
  <c r="R23" i="11"/>
  <c r="S29" i="11"/>
  <c r="L29" i="11"/>
  <c r="W29" i="11"/>
  <c r="N29" i="11"/>
  <c r="M23" i="11"/>
  <c r="AM23" i="11"/>
  <c r="AN23" i="11"/>
  <c r="I23" i="11"/>
  <c r="W23" i="11"/>
  <c r="X17" i="11"/>
  <c r="AJ17" i="11"/>
  <c r="AO35" i="11"/>
  <c r="J35" i="11"/>
  <c r="AL35" i="11"/>
  <c r="AI35" i="11"/>
  <c r="L35" i="11"/>
  <c r="U17" i="11"/>
  <c r="AI17" i="11"/>
  <c r="Z29" i="11"/>
  <c r="AB29" i="11"/>
  <c r="I29" i="11"/>
  <c r="AF29" i="11"/>
  <c r="J29" i="11"/>
  <c r="AA35" i="11"/>
  <c r="AF35" i="11"/>
  <c r="AQ35" i="11"/>
  <c r="X35" i="11"/>
  <c r="AR35" i="11"/>
  <c r="U35" i="11"/>
  <c r="T23" i="11"/>
  <c r="AE23" i="11"/>
  <c r="Y23" i="11"/>
  <c r="AK23" i="11"/>
  <c r="Q23" i="11"/>
  <c r="AJ23" i="11"/>
  <c r="AH23" i="11"/>
  <c r="AQ23" i="11"/>
  <c r="AI23" i="11"/>
  <c r="U23" i="11"/>
  <c r="V17" i="11"/>
  <c r="S17" i="11"/>
  <c r="AS17" i="11"/>
  <c r="Y35" i="11"/>
  <c r="AE35" i="11"/>
  <c r="S35" i="11"/>
  <c r="AP35" i="11"/>
  <c r="AS35" i="11"/>
  <c r="I22" i="11"/>
  <c r="K17" i="11"/>
  <c r="AP17" i="11"/>
  <c r="AT17" i="11"/>
  <c r="AD29" i="11"/>
  <c r="AA29" i="11"/>
  <c r="AP29" i="11"/>
  <c r="R29" i="11"/>
  <c r="AI29" i="11"/>
  <c r="AB35" i="11"/>
  <c r="AK35" i="11"/>
  <c r="AJ35" i="11"/>
  <c r="P35" i="11"/>
  <c r="P23" i="11"/>
  <c r="AA23" i="11"/>
  <c r="AD23" i="11"/>
  <c r="AS23" i="11"/>
  <c r="K23" i="11"/>
  <c r="AP23" i="11"/>
  <c r="J23" i="11"/>
  <c r="S23" i="11"/>
  <c r="N23" i="11"/>
  <c r="AP42" i="11"/>
  <c r="AP39" i="11"/>
  <c r="AP40" i="11" s="1"/>
  <c r="AN17" i="11"/>
  <c r="R17" i="11"/>
  <c r="O17" i="11"/>
  <c r="AE17" i="11"/>
  <c r="AK17" i="11"/>
  <c r="Z42" i="11"/>
  <c r="Z39" i="11"/>
  <c r="Z40" i="11" s="1"/>
  <c r="AA39" i="11"/>
  <c r="AA40" i="11" s="1"/>
  <c r="AQ39" i="11"/>
  <c r="AQ40" i="11" s="1"/>
  <c r="W39" i="11"/>
  <c r="W40" i="11" s="1"/>
  <c r="W42" i="11"/>
  <c r="AG42" i="11"/>
  <c r="AG39" i="11"/>
  <c r="AG40" i="11" s="1"/>
  <c r="AA17" i="11"/>
  <c r="AQ17" i="11"/>
  <c r="AF17" i="11"/>
  <c r="L17" i="11"/>
  <c r="H17" i="11"/>
  <c r="AC17" i="11"/>
  <c r="AH17" i="11"/>
  <c r="AM17" i="11"/>
  <c r="J17" i="11"/>
  <c r="AR42" i="11"/>
  <c r="AR39" i="11"/>
  <c r="AR40" i="11" s="1"/>
  <c r="AQ29" i="11"/>
  <c r="K29" i="11"/>
  <c r="AM29" i="11"/>
  <c r="AS29" i="11"/>
  <c r="O29" i="11"/>
  <c r="AE29" i="11"/>
  <c r="AG29" i="11"/>
  <c r="AR29" i="11"/>
  <c r="AJ29" i="11"/>
  <c r="Y29" i="11"/>
  <c r="AM35" i="11"/>
  <c r="M35" i="11"/>
  <c r="N35" i="11"/>
  <c r="AH35" i="11"/>
  <c r="Z35" i="11"/>
  <c r="H35" i="11"/>
  <c r="AG35" i="11"/>
  <c r="O35" i="11"/>
  <c r="V35" i="11"/>
  <c r="R35" i="11"/>
  <c r="X39" i="11"/>
  <c r="X40" i="11" s="1"/>
  <c r="AS39" i="11"/>
  <c r="AS40" i="11" s="1"/>
  <c r="AJ42" i="11"/>
  <c r="AJ39" i="11"/>
  <c r="AJ40" i="11" s="1"/>
  <c r="AF42" i="11"/>
  <c r="AF39" i="11"/>
  <c r="AF40" i="11" s="1"/>
  <c r="AL17" i="11"/>
  <c r="AR17" i="11"/>
  <c r="Z17" i="11"/>
  <c r="N17" i="11"/>
  <c r="Q17" i="11"/>
  <c r="AB39" i="11"/>
  <c r="AB40" i="11" s="1"/>
  <c r="AB42" i="11"/>
  <c r="AO17" i="11"/>
  <c r="P17" i="11"/>
  <c r="Y17" i="11"/>
  <c r="M17" i="11"/>
  <c r="AG17" i="11"/>
  <c r="W17" i="11"/>
  <c r="I17" i="11"/>
  <c r="AB17" i="11"/>
  <c r="AD17" i="11"/>
  <c r="T17" i="11"/>
  <c r="V42" i="11"/>
  <c r="V39" i="11"/>
  <c r="V40" i="11" s="1"/>
  <c r="AK39" i="11"/>
  <c r="AK40" i="11" s="1"/>
  <c r="L42" i="11"/>
  <c r="L39" i="11"/>
  <c r="L40" i="11" s="1"/>
  <c r="X29" i="11"/>
  <c r="AL29" i="11"/>
  <c r="U29" i="11"/>
  <c r="AC29" i="11"/>
  <c r="V29" i="11"/>
  <c r="H29" i="11"/>
  <c r="AO29" i="11"/>
  <c r="AH29" i="11"/>
  <c r="Q29" i="11"/>
  <c r="T29" i="11"/>
  <c r="AD35" i="11"/>
  <c r="T35" i="11"/>
  <c r="I35" i="11"/>
  <c r="AN35" i="11"/>
  <c r="K35" i="11"/>
  <c r="W35" i="11"/>
  <c r="Q35" i="11"/>
  <c r="AC35" i="11"/>
  <c r="AT35" i="11"/>
  <c r="J22" i="11" l="1"/>
  <c r="K22" i="11" l="1"/>
  <c r="L22" i="11" l="1"/>
  <c r="M22" i="11" l="1"/>
  <c r="N22" i="11" l="1"/>
  <c r="O22" i="11" l="1"/>
  <c r="P22" i="11" l="1"/>
  <c r="Q22" i="11" l="1"/>
  <c r="R22" i="11" l="1"/>
  <c r="S22" i="11" s="1"/>
  <c r="T22" i="11" s="1"/>
  <c r="U22" i="11" s="1"/>
  <c r="V22" i="11" s="1"/>
  <c r="W22" i="11" s="1"/>
  <c r="X22" i="11" s="1"/>
  <c r="Y22" i="11" s="1"/>
  <c r="Z22" i="11" s="1"/>
  <c r="AA22" i="11" s="1"/>
  <c r="AB22" i="11" s="1"/>
  <c r="AC22" i="11" s="1"/>
  <c r="AD22" i="11" s="1"/>
  <c r="AE22" i="11" s="1"/>
  <c r="AF22" i="11" s="1"/>
  <c r="AG22" i="11" s="1"/>
  <c r="AH22" i="11" s="1"/>
  <c r="AI22" i="11" s="1"/>
  <c r="AJ22" i="11" s="1"/>
  <c r="AK22" i="11" s="1"/>
  <c r="AL22" i="11" s="1"/>
  <c r="AM22" i="11" s="1"/>
  <c r="AN22" i="11" s="1"/>
  <c r="AO22" i="11" s="1"/>
  <c r="AP22" i="11" s="1"/>
  <c r="AQ22" i="11" s="1"/>
  <c r="AR22" i="11" s="1"/>
  <c r="AS22" i="11" s="1"/>
  <c r="AT22" i="11" s="1"/>
  <c r="AT21" i="11" l="1"/>
  <c r="AI21" i="11"/>
  <c r="I21" i="11"/>
  <c r="AA21" i="11"/>
  <c r="AG21" i="11"/>
  <c r="O21" i="11"/>
  <c r="N21" i="11"/>
  <c r="P21" i="11"/>
  <c r="AF21" i="11"/>
  <c r="AD21" i="11"/>
  <c r="AN21" i="11"/>
  <c r="AL21" i="11"/>
  <c r="AE21" i="11"/>
  <c r="Z21" i="11"/>
  <c r="AR21" i="11"/>
  <c r="AK21" i="11"/>
  <c r="Q21" i="11"/>
  <c r="AQ21" i="11"/>
  <c r="AC21" i="11"/>
  <c r="S21" i="11"/>
  <c r="U21" i="11"/>
  <c r="K21" i="11"/>
  <c r="AB21" i="11"/>
  <c r="Y21" i="11"/>
  <c r="L21" i="11"/>
  <c r="W21" i="11"/>
  <c r="T21" i="11"/>
  <c r="AP21" i="11"/>
  <c r="X21" i="11"/>
  <c r="R21" i="11"/>
  <c r="AS21" i="11"/>
  <c r="J21" i="11"/>
  <c r="AH21" i="11"/>
  <c r="M21" i="11"/>
  <c r="AJ21" i="11"/>
  <c r="V21" i="11"/>
  <c r="AO21" i="11"/>
  <c r="H21" i="11"/>
  <c r="AM21" i="11"/>
</calcChain>
</file>

<file path=xl/sharedStrings.xml><?xml version="1.0" encoding="utf-8"?>
<sst xmlns="http://schemas.openxmlformats.org/spreadsheetml/2006/main" count="617" uniqueCount="341">
  <si>
    <t>Valores Totais (R$)</t>
  </si>
  <si>
    <t>BDI</t>
  </si>
  <si>
    <t>Nome:</t>
  </si>
  <si>
    <t>Para elaboração deste orçamento, foram utilizados os encargos sociais do SINAPI para a Unidade da Federação indicada.</t>
  </si>
  <si>
    <t>Local:</t>
  </si>
  <si>
    <t>Data:</t>
  </si>
  <si>
    <t>Descrição</t>
  </si>
  <si>
    <t>Parcela (%)</t>
  </si>
  <si>
    <t>Parcela (R$)</t>
  </si>
  <si>
    <t>Acumulado (%)</t>
  </si>
  <si>
    <t>GIGOV</t>
  </si>
  <si>
    <t>Fonte</t>
  </si>
  <si>
    <t>SINAPI</t>
  </si>
  <si>
    <t>Item</t>
  </si>
  <si>
    <t>Quantidade</t>
  </si>
  <si>
    <t>Unidade</t>
  </si>
  <si>
    <t>Nº TC/CR</t>
  </si>
  <si>
    <t>Preço Unitário (R$)</t>
  </si>
  <si>
    <t>n1</t>
  </si>
  <si>
    <t>n2</t>
  </si>
  <si>
    <t>n3</t>
  </si>
  <si>
    <t>n4</t>
  </si>
  <si>
    <t>n5</t>
  </si>
  <si>
    <t>LOTE</t>
  </si>
  <si>
    <t>Tipo</t>
  </si>
  <si>
    <t>N5 Serviço</t>
  </si>
  <si>
    <t>M</t>
  </si>
  <si>
    <t>A2</t>
  </si>
  <si>
    <t>S3</t>
  </si>
  <si>
    <t>A3</t>
  </si>
  <si>
    <t>S4</t>
  </si>
  <si>
    <t>A4</t>
  </si>
  <si>
    <t>S5</t>
  </si>
  <si>
    <t>L</t>
  </si>
  <si>
    <t>Grupo</t>
  </si>
  <si>
    <t>Grau de Sigilo</t>
  </si>
  <si>
    <t>#PUBLICO</t>
  </si>
  <si>
    <t>PO - PLANILHA ORÇAMENTÁRIA</t>
  </si>
  <si>
    <t>INSTRUÇÕES DE USO E PREENCHIMENTO</t>
  </si>
  <si>
    <t>2.1  Na Versão Excel 2003, selecione na Faixa de Opções: Ferramentas --&gt; Macro --&gt; Segurança --&gt; Na aba Nível de Segurança selecione a Opção "Baixo" --&gt; Clique em OK --&gt; Feche e abra o Excel novamente para utilizar a Planilha.</t>
  </si>
  <si>
    <t>4. Ordem de Preenchimento</t>
  </si>
  <si>
    <t>GESTOR</t>
  </si>
  <si>
    <t>PROGRAMA</t>
  </si>
  <si>
    <t>AÇÃO / MODALIDADE</t>
  </si>
  <si>
    <t>(selecione)</t>
  </si>
  <si>
    <t>PROPONENTE / TOMADOR</t>
  </si>
  <si>
    <t>MUNICÍPIO / UF</t>
  </si>
  <si>
    <t>LOCALIDADE / ENDEREÇO</t>
  </si>
  <si>
    <t>OBJETO</t>
  </si>
  <si>
    <t>Lista GIGOVs</t>
  </si>
  <si>
    <t>AJ - ARACAJU</t>
  </si>
  <si>
    <t>AN - ANAPOLIS</t>
  </si>
  <si>
    <t>BE - BELEM</t>
  </si>
  <si>
    <t>BH - BELO HORIZONTE</t>
  </si>
  <si>
    <t>BI - BARREIRAS</t>
  </si>
  <si>
    <t>BL - BLUMENAU</t>
  </si>
  <si>
    <t>BR - BRASILIA</t>
  </si>
  <si>
    <t>BU - BAURU</t>
  </si>
  <si>
    <t>BV - BOA VISTA</t>
  </si>
  <si>
    <t>CA  - CARUARU</t>
  </si>
  <si>
    <t>CB - CUIABA</t>
  </si>
  <si>
    <t>CG - CAMPO GRANDE</t>
  </si>
  <si>
    <t>CH - CHAPECO</t>
  </si>
  <si>
    <t>CM - CAMPOS DOS GOYTACAZES</t>
  </si>
  <si>
    <t>CP - CAMPINAS</t>
  </si>
  <si>
    <t>CR - CRICIUMA</t>
  </si>
  <si>
    <t>CT - CURITIBA</t>
  </si>
  <si>
    <t>CV  - CASCAVEL</t>
  </si>
  <si>
    <t>CX - CAXIAS DO SUL</t>
  </si>
  <si>
    <t>DD - DOURADOS</t>
  </si>
  <si>
    <t>DV - DIVINOPOLIS</t>
  </si>
  <si>
    <t>FL - FLORIANOPOLIS</t>
  </si>
  <si>
    <t>FO - FORTALEZA</t>
  </si>
  <si>
    <t>FS  - FEIRA DE SANTANA</t>
  </si>
  <si>
    <t>GO - GOIANIA</t>
  </si>
  <si>
    <t>GV - GOVERNADOR VALADARES</t>
  </si>
  <si>
    <t>IT - ITABUNA</t>
  </si>
  <si>
    <t>JD - JUNDIAI</t>
  </si>
  <si>
    <t>JF - JUIZ DE FORA</t>
  </si>
  <si>
    <t>JN - JUAZEIRO DO NORTE</t>
  </si>
  <si>
    <t>JP - JOAO PESSOA</t>
  </si>
  <si>
    <t>JV - JOINVILLE</t>
  </si>
  <si>
    <t>LD - LONDRINA</t>
  </si>
  <si>
    <t>LI - PETROLINA</t>
  </si>
  <si>
    <t>MB - MARABA</t>
  </si>
  <si>
    <t>MC - MACAPA</t>
  </si>
  <si>
    <t>ME - MACEIO</t>
  </si>
  <si>
    <t>MN - MANAUS</t>
  </si>
  <si>
    <t>MO - MONTES CLAROS</t>
  </si>
  <si>
    <t>MR - MARINGA</t>
  </si>
  <si>
    <t>NA - NATAL</t>
  </si>
  <si>
    <t>NH - NOVO HAMBURGO</t>
  </si>
  <si>
    <t>NT - NITEROI</t>
  </si>
  <si>
    <t>OS - OSASCO</t>
  </si>
  <si>
    <t>PC - POCOS DE CALDAS</t>
  </si>
  <si>
    <t>PF - PASSO FUNDO</t>
  </si>
  <si>
    <t>PG - PONTA GROSSA</t>
  </si>
  <si>
    <t>PK - PIRACICABA</t>
  </si>
  <si>
    <t>PL - PELOTAS</t>
  </si>
  <si>
    <t>PM - PALMAS</t>
  </si>
  <si>
    <t>PO - PORTO ALEGRE</t>
  </si>
  <si>
    <t>PP - PRESIDENTE PRUDENTE</t>
  </si>
  <si>
    <t>PV - PORTO VELHO</t>
  </si>
  <si>
    <t>RB - RIO BRANCO</t>
  </si>
  <si>
    <t>RE - RECIFE</t>
  </si>
  <si>
    <t>RJ - RIO DE JANEIRO</t>
  </si>
  <si>
    <t>RP - RIBEIRAO PRETO</t>
  </si>
  <si>
    <t>SA - SALVADOR</t>
  </si>
  <si>
    <t>SD - SANTO ANDRE</t>
  </si>
  <si>
    <t>SJ - SAO JOSE DOS CAMPOS</t>
  </si>
  <si>
    <t>SL - SAO LUIS</t>
  </si>
  <si>
    <t>SM - SANTA MARIA</t>
  </si>
  <si>
    <t>SO - SOROCABA</t>
  </si>
  <si>
    <t>SP - SAO PAULO</t>
  </si>
  <si>
    <t>SR - SAO JOSE DO RIO PRETO</t>
  </si>
  <si>
    <t>ST - SANTOS</t>
  </si>
  <si>
    <t>TE -  TERESINA</t>
  </si>
  <si>
    <t>TR - SANTAREM</t>
  </si>
  <si>
    <t>UB - UBERLANDIA</t>
  </si>
  <si>
    <t>VC - VITORIA DA CONQUISTA</t>
  </si>
  <si>
    <t>VR - VOLTA REDONDA</t>
  </si>
  <si>
    <t>VT - VITORIA</t>
  </si>
  <si>
    <t>2.2 Na Versão Excel 2007 ou superior, selecione na Faixa de Opções: Arquivo --&gt; Opções --&gt; Central de Confiabilidade --&gt; Configurações da Central de Confiabilidade --&gt; Configurações de Macro --&gt; Habilitar todas as Macros --&gt; Clique em OK --&gt; Feche e abra o excel novamente para utilizar a Planilha.</t>
  </si>
  <si>
    <t>PO - Planilha Orçamentária / PLQ - Planilha de Levantamento de Quantidades / CFF - Cronograma Físico Financeiro</t>
  </si>
  <si>
    <t>Nível</t>
  </si>
  <si>
    <t>Código</t>
  </si>
  <si>
    <t>BDI
(%)</t>
  </si>
  <si>
    <t>Preço Total
(R$)</t>
  </si>
  <si>
    <t>Corresp</t>
  </si>
  <si>
    <t>Erro</t>
  </si>
  <si>
    <t>Falta</t>
  </si>
  <si>
    <t>SICRO</t>
  </si>
  <si>
    <t>MERCADO</t>
  </si>
  <si>
    <t>BDI 1</t>
  </si>
  <si>
    <t>BDI 2</t>
  </si>
  <si>
    <t>BDI 3</t>
  </si>
  <si>
    <t>BDI 4</t>
  </si>
  <si>
    <t>BDI 5</t>
  </si>
  <si>
    <t>Nº CONVÊNIO</t>
  </si>
  <si>
    <t>4.1. na Aba DADOS</t>
  </si>
  <si>
    <t>4.1.1. Preencha no Quadro abaixo os Dados do TC/CR:</t>
  </si>
  <si>
    <t>DESCRIÇÃO DO LOTE</t>
  </si>
  <si>
    <t>DESONERAÇÃO</t>
  </si>
  <si>
    <t>LOCALIDADE DO SINAPI</t>
  </si>
  <si>
    <t>DATA INÍCIO</t>
  </si>
  <si>
    <t>DATA DE ASSINATURA</t>
  </si>
  <si>
    <t>DATA BASE</t>
  </si>
  <si>
    <t>Arquiteto Urbanista</t>
  </si>
  <si>
    <t>Engenheiro Civil</t>
  </si>
  <si>
    <t>Engenheiro Mecânico</t>
  </si>
  <si>
    <t>Engenheiro Eletricista</t>
  </si>
  <si>
    <t>Engenheiro Agrônomo</t>
  </si>
  <si>
    <t>Título:</t>
  </si>
  <si>
    <t>(Selecione o título profissional)</t>
  </si>
  <si>
    <t>Exibir o 2° Quadro de Assinatura?</t>
  </si>
  <si>
    <t>Exibir o 3° Quadro de Assinatura?</t>
  </si>
  <si>
    <t>Exibir o 4° Quadro de Assinatura?</t>
  </si>
  <si>
    <t>COMPOSIÇÃO</t>
  </si>
  <si>
    <t>CRONOGRAMA GLOBAL DO LOTE</t>
  </si>
  <si>
    <t>linha</t>
  </si>
  <si>
    <t>Acumulado (R$)</t>
  </si>
  <si>
    <t>Observações:</t>
  </si>
  <si>
    <t xml:space="preserve">    CFF -</t>
  </si>
  <si>
    <t>CRONOGRAMA FÍSICO FINANCEIRO</t>
  </si>
  <si>
    <t>Descrição das Metas / Macro Serviços</t>
  </si>
  <si>
    <r>
      <t xml:space="preserve">1. Este documento somente pode ser utilizado nas versões do </t>
    </r>
    <r>
      <rPr>
        <b/>
        <sz val="10"/>
        <rFont val="Arial"/>
        <family val="2"/>
      </rPr>
      <t>Excel 2003 ou superior</t>
    </r>
    <r>
      <rPr>
        <sz val="10"/>
        <rFont val="Arial"/>
        <family val="2"/>
      </rPr>
      <t>. Não deve ser utilizado versões do BROffice.</t>
    </r>
  </si>
  <si>
    <r>
      <t xml:space="preserve">2. Para funcionamento pleno desse arquivo, a </t>
    </r>
    <r>
      <rPr>
        <b/>
        <sz val="10"/>
        <rFont val="Arial"/>
        <family val="2"/>
      </rPr>
      <t>Segurança de Macros do Excel deve ser habilitada</t>
    </r>
    <r>
      <rPr>
        <sz val="10"/>
        <rFont val="Arial"/>
        <family val="2"/>
      </rPr>
      <t>.</t>
    </r>
  </si>
  <si>
    <r>
      <t xml:space="preserve">3. O Preenchimento deve ser feito somente nas </t>
    </r>
    <r>
      <rPr>
        <b/>
        <sz val="10"/>
        <rFont val="Arial"/>
        <family val="2"/>
      </rPr>
      <t>células em amarelo</t>
    </r>
    <r>
      <rPr>
        <sz val="10"/>
        <rFont val="Arial"/>
        <family val="2"/>
      </rPr>
      <t>. As outras células são de preenchimento Automático.</t>
    </r>
  </si>
  <si>
    <t>4.1.4. Preencha a data de Início da Obra:</t>
  </si>
  <si>
    <t>MIN</t>
  </si>
  <si>
    <t>MED</t>
  </si>
  <si>
    <t>MAX</t>
  </si>
  <si>
    <t>Construção e Reforma de Edifícios</t>
  </si>
  <si>
    <t>AC</t>
  </si>
  <si>
    <t>SG</t>
  </si>
  <si>
    <t>R</t>
  </si>
  <si>
    <t>DF</t>
  </si>
  <si>
    <t>BDI PAD</t>
  </si>
  <si>
    <t>Construção de Praças Urbanas, Rodovias, Ferrovias e recapeamento e pavimentação de vias urbanas</t>
  </si>
  <si>
    <t>TIPO DE OBRA DO EMPREENDIMENTO</t>
  </si>
  <si>
    <t>Conforme legislação tributária municipal, definir estimativa de percentual da base de cálculo para o ISS:</t>
  </si>
  <si>
    <t>Construção de Redes de Abastecimento de Água, Coleta de Esgoto</t>
  </si>
  <si>
    <t>Sobre a base de cálculo, definir a respectiva alíquota do ISS (entre 2% e 5%):</t>
  </si>
  <si>
    <t>Itens</t>
  </si>
  <si>
    <t>Siglas</t>
  </si>
  <si>
    <t>% Adotado</t>
  </si>
  <si>
    <t>Situação</t>
  </si>
  <si>
    <t>1º Quartil</t>
  </si>
  <si>
    <t>Médio</t>
  </si>
  <si>
    <t>3º Quartil</t>
  </si>
  <si>
    <t>-</t>
  </si>
  <si>
    <t>Construção e Manutenção de Estações e Redes de Distribuição de Energia Elétrica</t>
  </si>
  <si>
    <t>Tributos (impostos COFINS 3%, e  PIS 0,65%)</t>
  </si>
  <si>
    <t>CP</t>
  </si>
  <si>
    <t>Tributos (ISS, variável de acordo com o município)</t>
  </si>
  <si>
    <t>ISS</t>
  </si>
  <si>
    <t>CPRB</t>
  </si>
  <si>
    <t>BDI SEM desoneração
(Fórmula Acórdão TCU)</t>
  </si>
  <si>
    <t>Obras Portuárias, Marítimas e Fluviais</t>
  </si>
  <si>
    <t>BDI COM desoneração</t>
  </si>
  <si>
    <t>BDI DES</t>
  </si>
  <si>
    <t>Fornecimento de Materiais e Equipamentos</t>
  </si>
  <si>
    <t>Responsável Técnico</t>
  </si>
  <si>
    <t>Responsável Tomador</t>
  </si>
  <si>
    <t>Estudos e Projetos, Planos e Gerenciamento e outros correlatos</t>
  </si>
  <si>
    <t>Cargo:</t>
  </si>
  <si>
    <t>Os valores de BDI foram calculados com o emprego da fórmula:</t>
  </si>
  <si>
    <t>4.3. na Aba PO (Planilha Orçamentária):</t>
  </si>
  <si>
    <r>
      <t xml:space="preserve">4.3.1. Preencha primeiramente a descrição dos serviços e agrupadores na </t>
    </r>
    <r>
      <rPr>
        <b/>
        <sz val="10"/>
        <rFont val="Arial"/>
        <family val="2"/>
      </rPr>
      <t>Coluna DESCRIÇÃO</t>
    </r>
    <r>
      <rPr>
        <sz val="10"/>
        <rFont val="Arial"/>
        <family val="2"/>
      </rPr>
      <t>.</t>
    </r>
  </si>
  <si>
    <t>4.3.1.3. Preencher a descrição do Agrupador de 2° Nível.</t>
  </si>
  <si>
    <r>
      <t xml:space="preserve">4.3.1.4. Preencher a descrição dos demais serviços ou agrupadores. Para importar os dados de outro arquivo utilize apenas a opção </t>
    </r>
    <r>
      <rPr>
        <b/>
        <sz val="10"/>
        <rFont val="Arial"/>
        <family val="2"/>
      </rPr>
      <t>COLAR ESPECIAL ==&gt; VALORES</t>
    </r>
    <r>
      <rPr>
        <sz val="10"/>
        <rFont val="Arial"/>
        <family val="2"/>
      </rPr>
      <t>.</t>
    </r>
  </si>
  <si>
    <t>4.3.2. Paralelamente ao preenchimento da descrição dos serviços, preencher também as informações sobre a Fonte de Referência adotada para cada serviço/insumo:</t>
  </si>
  <si>
    <r>
      <t xml:space="preserve">4.3.2.1. A </t>
    </r>
    <r>
      <rPr>
        <b/>
        <sz val="10"/>
        <rFont val="Arial"/>
        <family val="2"/>
      </rPr>
      <t>Coluna FONTE</t>
    </r>
    <r>
      <rPr>
        <sz val="10"/>
        <rFont val="Arial"/>
        <family val="2"/>
      </rPr>
      <t xml:space="preserve"> deve ser preenchida preferencialmente com uma das opções da lista suspensa que aparecerá na célula, a saber:</t>
    </r>
  </si>
  <si>
    <r>
      <t xml:space="preserve">4.3.2.2. Preencher o código do serviço/insumo na </t>
    </r>
    <r>
      <rPr>
        <b/>
        <sz val="10"/>
        <rFont val="Arial"/>
        <family val="2"/>
      </rPr>
      <t>Coluna CÓDIGO</t>
    </r>
    <r>
      <rPr>
        <sz val="10"/>
        <rFont val="Arial"/>
        <family val="2"/>
      </rPr>
      <t>.</t>
    </r>
  </si>
  <si>
    <r>
      <t xml:space="preserve">4.3.2.4. Preencher o custo unitário do serviço/insumo na </t>
    </r>
    <r>
      <rPr>
        <b/>
        <sz val="10"/>
        <rFont val="Arial"/>
        <family val="2"/>
      </rPr>
      <t>Coluna CUSTO UNITÁRIO</t>
    </r>
    <r>
      <rPr>
        <sz val="10"/>
        <rFont val="Arial"/>
        <family val="2"/>
      </rPr>
      <t>. ATENÇÃO: o custo unitário adotado deve ser menor ou igual ao contido na tabela de referência ou mediana das cotações de mercado.</t>
    </r>
  </si>
  <si>
    <t>4.1.5. Preencha no(s) Quadro(s) abaixo os Dados do(s) Responsável(is) Técnico(s) pela elaboração do Orçamento:</t>
  </si>
  <si>
    <t>Encargos sociais:</t>
  </si>
  <si>
    <t>PLQ -</t>
  </si>
  <si>
    <t>PLANILHA DE LEVANTAMENTO DE QUANTIDADES</t>
  </si>
  <si>
    <t>São Paulo / SP</t>
  </si>
  <si>
    <t>Orçamento Base para Licitação</t>
  </si>
  <si>
    <t>4.2.2. Escolha se o BDI será do tipo desonerado ou não.</t>
  </si>
  <si>
    <t>4.2.5. Defina na tabela os percentuais a serem adotados para cada item que compõe o BDI nos campos em amarelo.</t>
  </si>
  <si>
    <t>Intervalo de admissibilidade</t>
  </si>
  <si>
    <t>4.4. na Aba PLQ (Planilha de Levantamento de Quantitativos):</t>
  </si>
  <si>
    <r>
      <t xml:space="preserve">4.3.2.6.1. A </t>
    </r>
    <r>
      <rPr>
        <b/>
        <sz val="10"/>
        <rFont val="Arial"/>
        <family val="2"/>
      </rPr>
      <t>Coluna Quantidade</t>
    </r>
    <r>
      <rPr>
        <sz val="10"/>
        <rFont val="Arial"/>
        <family val="2"/>
      </rPr>
      <t xml:space="preserve"> é a soma das quantidades de cada Frente de Obra, informadas na aba PLQ (Planilha de Levantamento de Quantitativos)</t>
    </r>
  </si>
  <si>
    <t>(Selecione uma Localidade)</t>
  </si>
  <si>
    <t>(Selecione o tipo de planilha orçamentária)</t>
  </si>
  <si>
    <t>Aracaju / SE</t>
  </si>
  <si>
    <t>Belém / PA</t>
  </si>
  <si>
    <t>Orçamento Base Reprogramado</t>
  </si>
  <si>
    <t>Belo Horizonte / MG</t>
  </si>
  <si>
    <t>Orçamento Licitado</t>
  </si>
  <si>
    <t>Boa Vista / RR</t>
  </si>
  <si>
    <t>Orçamento Licitado Reprogramado</t>
  </si>
  <si>
    <t>Brasília / DF</t>
  </si>
  <si>
    <t>Campo Grande / MS</t>
  </si>
  <si>
    <t>Cuiabá / MT</t>
  </si>
  <si>
    <t>Curitiba / PR</t>
  </si>
  <si>
    <t>Florianópolis / SC</t>
  </si>
  <si>
    <t>Fortaleza / CE</t>
  </si>
  <si>
    <t>Goiânia / GO</t>
  </si>
  <si>
    <t>João Pessoa / PB</t>
  </si>
  <si>
    <t>Macapá / AP</t>
  </si>
  <si>
    <t>Maceió / AL</t>
  </si>
  <si>
    <t>Manaus / AM</t>
  </si>
  <si>
    <t>Natal / RN</t>
  </si>
  <si>
    <t>Palmas / TO</t>
  </si>
  <si>
    <t>Porto Alegre / RS</t>
  </si>
  <si>
    <t>Porto Velho / RO</t>
  </si>
  <si>
    <t>Recife / PE</t>
  </si>
  <si>
    <t>Rio Branco / AC</t>
  </si>
  <si>
    <t>Rio de Janeiro / RJ</t>
  </si>
  <si>
    <t>Salvador / BA</t>
  </si>
  <si>
    <t>São Luís / MA</t>
  </si>
  <si>
    <t>Teresina / PI</t>
  </si>
  <si>
    <t>Vitória / ES</t>
  </si>
  <si>
    <t>(Descreva a Meta aqui)</t>
  </si>
  <si>
    <t>Sim</t>
  </si>
  <si>
    <t>Tributos (Contribuição Previdenciária - 0% ou 4,5%, conforme Lei 12.844/2013 - Desoneração)</t>
  </si>
  <si>
    <t>CTEF n.º</t>
  </si>
  <si>
    <t>NOME DA EMPRESA</t>
  </si>
  <si>
    <t>REGIME DE EXECUÇÃO</t>
  </si>
  <si>
    <t>CNPJ</t>
  </si>
  <si>
    <t>DATA ASSINATURA</t>
  </si>
  <si>
    <t>VIGÊNCIA</t>
  </si>
  <si>
    <t>DESON.</t>
  </si>
  <si>
    <t>ACOMP.</t>
  </si>
  <si>
    <t>OBJETO CTEF</t>
  </si>
  <si>
    <t>4.1.2. Escolha o tipo de orçamento:</t>
  </si>
  <si>
    <t>TIPO DE ORÇAMENTO</t>
  </si>
  <si>
    <t>4.1.3. Preencha no quadro abaixo as informações sobre o orçamento base:</t>
  </si>
  <si>
    <t>4.1.3. Preencha no quadro abaixo as informações sobre o orçamento licitado:</t>
  </si>
  <si>
    <t>Empreitada preço global</t>
  </si>
  <si>
    <t>Empreitada preço unitário</t>
  </si>
  <si>
    <t>Empreitada integral</t>
  </si>
  <si>
    <t>Tarefa</t>
  </si>
  <si>
    <t>Contratação Integrada</t>
  </si>
  <si>
    <t>Não se aplica</t>
  </si>
  <si>
    <t>BM</t>
  </si>
  <si>
    <t>PLE</t>
  </si>
  <si>
    <t>Meta</t>
  </si>
  <si>
    <t>Nível 2</t>
  </si>
  <si>
    <t>Nível 3</t>
  </si>
  <si>
    <t>Nível 4</t>
  </si>
  <si>
    <t>Serviço</t>
  </si>
  <si>
    <t>(Descreva aqui o agrupador)</t>
  </si>
  <si>
    <t>SIM</t>
  </si>
  <si>
    <t>CREA/CAU:</t>
  </si>
  <si>
    <t>ART/RRT:</t>
  </si>
  <si>
    <t>Representante Legal</t>
  </si>
  <si>
    <t>Empresa:</t>
  </si>
  <si>
    <t>CNPJ:</t>
  </si>
  <si>
    <t>K1</t>
  </si>
  <si>
    <t>K2</t>
  </si>
  <si>
    <t/>
  </si>
  <si>
    <t>K3</t>
  </si>
  <si>
    <t xml:space="preserve"> - 1</t>
  </si>
  <si>
    <t>4.2. na Aba BDI (Bonificações e Despesas Indiretas):</t>
  </si>
  <si>
    <t>4.2.1. Escolha o tipo de empreendimento.</t>
  </si>
  <si>
    <t>4.2.3. Informe a base de cálculo do ISS (0 a 100%).</t>
  </si>
  <si>
    <t>4.2.4. Informe a alíquota do ISS (Normalmente de 2 a 5%).</t>
  </si>
  <si>
    <t>4.2.6. Preencha o campo observações se necessário (recomendado para os orçamentos que utilizam mais de um BDI).</t>
  </si>
  <si>
    <t>4.3.1.1. A descrição do Lote não é preenchida na Aba PO. Ela já deve estar preenchida no item 4.1.3 das instruções.</t>
  </si>
  <si>
    <t>4.3.1.2. Preencher a descrição da 1ª Meta ou Submeta na Aba PO.</t>
  </si>
  <si>
    <t>4.3.1.5. A descrição dos serviços deve ser preferencialmente idêntica à descrição contida na tabela referencial.</t>
  </si>
  <si>
    <r>
      <t xml:space="preserve">4.3.1.6. Se for necessário acrescentar linhas à Planilha Orçamentária, utilize o Botão </t>
    </r>
    <r>
      <rPr>
        <b/>
        <sz val="10"/>
        <rFont val="Arial"/>
        <family val="2"/>
      </rPr>
      <t>ACRESCENTAR LINHAS</t>
    </r>
    <r>
      <rPr>
        <sz val="10"/>
        <rFont val="Arial"/>
        <family val="2"/>
      </rPr>
      <t xml:space="preserve"> então informe o número de linhas que deseja acrescentar. As linhas são acrescentadas no final da planilha. 
ATENÇÃO: quanto maior o número de linhas mais lento será o processamento dos dados, então acrescente apenas o número necessário ou um pouco a mais.</t>
    </r>
  </si>
  <si>
    <r>
      <t xml:space="preserve">4.3.1.7. Evite deixar linhas em branco no corpo da Planilha Orçamentária. Para excluir as linhas vazias, selecione pelo menos uma célula da linha a ser excluída e utilize o Botão </t>
    </r>
    <r>
      <rPr>
        <b/>
        <sz val="10"/>
        <rFont val="Arial"/>
        <family val="2"/>
      </rPr>
      <t>EXCLUIR LINHAS SELECIONADAS.</t>
    </r>
  </si>
  <si>
    <t>b) SICRO: utilize esta opção para a tabela do SICRO (Disponível no site do DNIT).</t>
  </si>
  <si>
    <t>a) SINAPI: utilize esta opção para a tabela do SINAPI (Disponível no site da CAIXA).</t>
  </si>
  <si>
    <t>c) COMPOSIÇÃO: utilize esta opção para o caso de Composição Própria do Proponente/Tomador. ATENÇÃO: é necessária a apresentação da composição própria em forma analítica, utilizando preferencialmente os insumos do SINAPI.</t>
  </si>
  <si>
    <t>d) MERCADO: utilize esta opção para o caso de Cotação de Mercado. ATENÇÃO: é necessária a apresentação do Quadro Resumo de Cotação com no mínimo 03 cotações de preço.</t>
  </si>
  <si>
    <t>e) Caso seja utilizada outra Fonte de Referência, digite diretamente o Nome da mesma.</t>
  </si>
  <si>
    <r>
      <t xml:space="preserve">4.3.2.3. Preencher a unidade de medida do serviço/insumo na </t>
    </r>
    <r>
      <rPr>
        <b/>
        <sz val="10"/>
        <rFont val="Arial"/>
        <family val="2"/>
      </rPr>
      <t>Coluna UNIDADE</t>
    </r>
    <r>
      <rPr>
        <sz val="10"/>
        <rFont val="Arial"/>
        <family val="2"/>
      </rPr>
      <t xml:space="preserve"> forma idêntica à utilizada na tabela de referência.</t>
    </r>
  </si>
  <si>
    <r>
      <t xml:space="preserve">4.3.2.5. Indicar o BDI adotado para cada serviço/insumo na </t>
    </r>
    <r>
      <rPr>
        <b/>
        <sz val="10"/>
        <rFont val="Arial"/>
        <family val="2"/>
      </rPr>
      <t>Coluna BDI</t>
    </r>
    <r>
      <rPr>
        <sz val="10"/>
        <rFont val="Arial"/>
        <family val="2"/>
      </rPr>
      <t>. Preferencialmente selecione uma das opções da lista suspensa que aparecerá na célula, esta lista contém os 05 BDIs que podem ser preenchidos na Aba BDI (conforme item 4.2 das instruções). Caso seja necessária a adoção de mais de 05 valores diferentes de BDI, digite o percentual diretamente na célula.</t>
    </r>
  </si>
  <si>
    <t>4.3.2.6. OBSERVAÇÃO: As demais colunas (Item / Quantidade / Preço Unitário / Preço Total) são de preenchimento automático. Não tente preenche-las ou alterá-las na Aba PO.</t>
  </si>
  <si>
    <r>
      <t xml:space="preserve">4.3.3. Após o preenchimento da descrição dos serviços ou agrupadores faça a diferenciação dos mesmos. Num primeiro momento você terá apenas 1 meta (agrupador de 1º nível) e 1 agrupador principal (Nível 2) e todas as linhas restantes serão serviços. Selecione os níveis de cada item do orçamento na coluna </t>
    </r>
    <r>
      <rPr>
        <b/>
        <sz val="10"/>
        <rFont val="Arial"/>
        <family val="2"/>
      </rPr>
      <t>NÍVEL.</t>
    </r>
    <r>
      <rPr>
        <sz val="10"/>
        <rFont val="Arial"/>
        <family val="2"/>
      </rPr>
      <t xml:space="preserve">
OBSERVAÇÃO: O nível de </t>
    </r>
    <r>
      <rPr>
        <b/>
        <sz val="10"/>
        <rFont val="Arial"/>
        <family val="2"/>
      </rPr>
      <t>"Serviço"</t>
    </r>
    <r>
      <rPr>
        <sz val="10"/>
        <rFont val="Arial"/>
        <family val="2"/>
      </rPr>
      <t xml:space="preserve"> serve tanto para serviços ou insumos (mão-de-obra / material / equipamento / veículo / máquina / ferramenta / etc). Um </t>
    </r>
    <r>
      <rPr>
        <b/>
        <sz val="10"/>
        <rFont val="Arial"/>
        <family val="2"/>
      </rPr>
      <t xml:space="preserve">"nível 2/3/4" </t>
    </r>
    <r>
      <rPr>
        <sz val="10"/>
        <rFont val="Arial"/>
        <family val="2"/>
      </rPr>
      <t>é um título (é preenchida apenas a coluna descrição) utilizado para organizar melhor a planilha orçamentária e engloba (agrupa) serviços e agrupadores de nível inferior.</t>
    </r>
  </si>
  <si>
    <r>
      <t xml:space="preserve">4.3.4. Se necessário, poderão ser incluídas linhas na Planilha Orçamentária selecionando o número de linhas no corpo da Tabela de Orçamento e utilizando o Botão </t>
    </r>
    <r>
      <rPr>
        <b/>
        <sz val="10"/>
        <rFont val="Arial"/>
        <family val="2"/>
      </rPr>
      <t>INCLUIR LINHA</t>
    </r>
    <r>
      <rPr>
        <sz val="10"/>
        <rFont val="Arial"/>
        <family val="2"/>
      </rPr>
      <t xml:space="preserve">. </t>
    </r>
  </si>
  <si>
    <r>
      <t xml:space="preserve">4.3.5. Também poderão ser excluídas linhas na Planilha Orçamentária selecionando a linha ou intervalo de linhas no corpo da Tabela de Orçamento e utilizando o Botão </t>
    </r>
    <r>
      <rPr>
        <b/>
        <sz val="10"/>
        <rFont val="Arial"/>
        <family val="2"/>
      </rPr>
      <t>EXCLUIR LINHA SELECIONADA</t>
    </r>
    <r>
      <rPr>
        <sz val="10"/>
        <rFont val="Arial"/>
        <family val="2"/>
      </rPr>
      <t>. 
ATENÇÃO: Não será permitida a exclusão de linhas que causem anomalias na organização dos níveis, ou seja, abaixo do Lote é obrigatório um item de 1º nível (Meta), abaixo de uma Meta é obrigatório um item de 2º nível (Agrupador N3), abaixo deste é obrigatório um item de 3º nível (Agrupador N3 ou Serviço N3) e assim sucessivamente.</t>
    </r>
  </si>
  <si>
    <t>4.4.1. Preencha primeiramente as Frentes de Obra.</t>
  </si>
  <si>
    <t xml:space="preserve">4.4.1.1. Exemplos de Frentes de Obra (Rua A trecho 01 / Rua A trecho 02 / Rua B ; UH 01 / UH 02 / UH 03). </t>
  </si>
  <si>
    <t>4.4.2. Preencha as quantidades dos serviços por frente de obra. A soma das quantidades de todas as frentes de um determinado serviço será a quantidade exibida na Planilha Orçamentária.</t>
  </si>
  <si>
    <t>4.5. na Aba CFF (Cronograma Físico-Financeiro):</t>
  </si>
  <si>
    <t>4.5.1. Preencha a data de início da obra na aba Dados.</t>
  </si>
  <si>
    <r>
      <t xml:space="preserve">4.5.2. Preencha as porcentagens executadas </t>
    </r>
    <r>
      <rPr>
        <b/>
        <u/>
        <sz val="10"/>
        <rFont val="Arial"/>
        <family val="2"/>
      </rPr>
      <t>acumuladas</t>
    </r>
    <r>
      <rPr>
        <sz val="10"/>
        <rFont val="Arial"/>
        <family val="2"/>
      </rPr>
      <t xml:space="preserve"> de cada macrosserviço para cada parcela.</t>
    </r>
  </si>
  <si>
    <t>4.5.2.1. As porcentagens das metas não devem ser preenchidas. Elas serão calculadas automaticamente a partir das porcentagens dos macrosserviços que a compõem.</t>
  </si>
  <si>
    <t>CRONOGRAMA FÍSICO-FINANCEIRO</t>
  </si>
  <si>
    <t>.</t>
  </si>
  <si>
    <t>ENGENHEIRO CIVIL</t>
  </si>
  <si>
    <t>NÃO</t>
  </si>
  <si>
    <t>APERFEIÇOAMENTO SUS - ESTR. ATENÇÃO ESP SAUDE</t>
  </si>
  <si>
    <t>Não</t>
  </si>
  <si>
    <t>PREFEITURA MUNICIPAL DE CONCEIÇÃO DO RIO VERDE - MG</t>
  </si>
  <si>
    <t>CONCEIÇÃO DO RIO VERDE - M.G</t>
  </si>
  <si>
    <t>WANDERSON SOARES DA SILVA</t>
  </si>
  <si>
    <t>5069777653/D</t>
  </si>
  <si>
    <t>PEDRO PAULO</t>
  </si>
  <si>
    <t>Prefeito Municipal</t>
  </si>
  <si>
    <t>Conceição do Rio Verde</t>
  </si>
  <si>
    <t>PAVIMENTAÇÃO ASFALTICA PROLONG. RUA JOSÉ DE MATOS E RUA TRÊS</t>
  </si>
  <si>
    <t>16 de Maio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</si>
</sst>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R$ &quot;* #,##0.00_);_(&quot;R$ &quot;* \(#,##0.00\);_(&quot;R$ &quot;* &quot;-&quot;??_);_(@_)"/>
    <numFmt numFmtId="165" formatCode="_(* #,##0.00_);_(* \(#,##0.00\);_(* &quot;-&quot;??_);_(@_)"/>
    <numFmt numFmtId="166" formatCode="_(&quot;R$&quot;* #,##0.00_);_(&quot;R$&quot;* \(#,##0.00\);_(&quot;R$&quot;* &quot;-&quot;??_);_(@_)"/>
    <numFmt numFmtId="167" formatCode="dd/mm/yy;@"/>
    <numFmt numFmtId="168" formatCode="[$-F800]dddd\,\ mmmm\ dd\,\ yyyy"/>
    <numFmt numFmtId="169" formatCode="_(#,##0.00_);_(\(#,##0.00\);_(&quot;-&quot;??_);_(@_)"/>
    <numFmt numFmtId="170" formatCode="dd\ &quot;de&quot;\ mmmm\ &quot;de&quot;\ yyyy"/>
  </numFmts>
  <fonts count="47" x14ac:knownFonts="1">
    <font>
      <sz val="10"/>
      <name val="Arial"/>
    </font>
    <font>
      <sz val="10"/>
      <name val="Arial"/>
      <family val="2"/>
    </font>
    <font>
      <sz val="9"/>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8"/>
      <name val="Arial"/>
      <family val="2"/>
    </font>
    <font>
      <b/>
      <sz val="12"/>
      <name val="Arial"/>
      <family val="2"/>
    </font>
    <font>
      <b/>
      <sz val="10"/>
      <name val="Arial"/>
      <family val="2"/>
    </font>
    <font>
      <b/>
      <sz val="10"/>
      <color indexed="10"/>
      <name val="Arial"/>
      <family val="2"/>
    </font>
    <font>
      <sz val="14"/>
      <color indexed="9"/>
      <name val="Arial Black"/>
      <family val="2"/>
    </font>
    <font>
      <sz val="8"/>
      <name val="Arial"/>
      <family val="2"/>
    </font>
    <font>
      <b/>
      <sz val="11"/>
      <name val="Arial"/>
      <family val="2"/>
    </font>
    <font>
      <b/>
      <sz val="10"/>
      <color indexed="8"/>
      <name val="Arial"/>
      <family val="2"/>
    </font>
    <font>
      <b/>
      <sz val="10"/>
      <color indexed="23"/>
      <name val="Arial"/>
      <family val="2"/>
    </font>
    <font>
      <b/>
      <sz val="8"/>
      <name val="Arial"/>
      <family val="2"/>
    </font>
    <font>
      <sz val="8"/>
      <color indexed="9"/>
      <name val="Arial"/>
      <family val="2"/>
    </font>
    <font>
      <sz val="10"/>
      <color indexed="9"/>
      <name val="Arial"/>
      <family val="2"/>
    </font>
    <font>
      <sz val="11"/>
      <name val="Arial"/>
      <family val="2"/>
    </font>
    <font>
      <b/>
      <sz val="10"/>
      <color indexed="12"/>
      <name val="Arial"/>
      <family val="2"/>
    </font>
    <font>
      <b/>
      <u/>
      <sz val="15"/>
      <name val="Arial"/>
      <family val="2"/>
    </font>
    <font>
      <b/>
      <sz val="11"/>
      <color indexed="12"/>
      <name val="Arial"/>
      <family val="2"/>
    </font>
    <font>
      <u/>
      <sz val="10"/>
      <name val="Arial"/>
      <family val="2"/>
    </font>
    <font>
      <sz val="12"/>
      <name val="Arial"/>
      <family val="2"/>
    </font>
    <font>
      <sz val="14"/>
      <color indexed="9"/>
      <name val="Arial"/>
      <family val="2"/>
    </font>
    <font>
      <sz val="10"/>
      <name val="Arial"/>
      <family val="2"/>
    </font>
    <font>
      <b/>
      <sz val="9"/>
      <name val="Arial"/>
      <family val="2"/>
    </font>
    <font>
      <sz val="11"/>
      <color indexed="9"/>
      <name val="Arial"/>
      <family val="2"/>
    </font>
    <font>
      <b/>
      <sz val="10"/>
      <color indexed="23"/>
      <name val="Arial"/>
      <family val="2"/>
    </font>
    <font>
      <i/>
      <sz val="12"/>
      <name val="Calibri"/>
      <family val="2"/>
    </font>
    <font>
      <i/>
      <u/>
      <sz val="12"/>
      <name val="Calibri"/>
      <family val="2"/>
    </font>
    <font>
      <sz val="8"/>
      <name val="Arial"/>
      <family val="2"/>
    </font>
    <font>
      <b/>
      <u/>
      <sz val="1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fill>
    <fill>
      <patternFill patternType="solid">
        <fgColor indexed="23"/>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22"/>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thin">
        <color indexed="64"/>
      </top>
      <bottom/>
      <diagonal/>
    </border>
    <border>
      <left/>
      <right style="thin">
        <color indexed="64"/>
      </right>
      <top style="thin">
        <color indexed="64"/>
      </top>
      <bottom/>
      <diagonal/>
    </border>
    <border>
      <left/>
      <right/>
      <top style="dotted">
        <color indexed="64"/>
      </top>
      <bottom/>
      <diagonal/>
    </border>
    <border>
      <left/>
      <right style="thin">
        <color indexed="64"/>
      </right>
      <top style="dotted">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thin">
        <color indexed="64"/>
      </bottom>
      <diagonal/>
    </border>
    <border>
      <left style="medium">
        <color indexed="64"/>
      </left>
      <right/>
      <top/>
      <bottom/>
      <diagonal/>
    </border>
  </borders>
  <cellStyleXfs count="89">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10" fillId="3" borderId="0" applyNumberFormat="0" applyBorder="0" applyAlignment="0" applyProtection="0"/>
    <xf numFmtId="0" fontId="5" fillId="4" borderId="0" applyNumberFormat="0" applyBorder="0" applyAlignment="0" applyProtection="0"/>
    <xf numFmtId="0" fontId="6" fillId="20" borderId="1" applyNumberFormat="0" applyAlignment="0" applyProtection="0"/>
    <xf numFmtId="0" fontId="6" fillId="20" borderId="1" applyNumberFormat="0" applyAlignment="0" applyProtection="0"/>
    <xf numFmtId="0" fontId="7" fillId="21" borderId="2" applyNumberFormat="0" applyAlignment="0" applyProtection="0"/>
    <xf numFmtId="0" fontId="8" fillId="0" borderId="3" applyNumberFormat="0" applyFill="0" applyAlignment="0" applyProtection="0"/>
    <xf numFmtId="0" fontId="7" fillId="21" borderId="2" applyNumberFormat="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9" fillId="7" borderId="1" applyNumberFormat="0" applyAlignment="0" applyProtection="0"/>
    <xf numFmtId="0" fontId="3" fillId="0" borderId="0"/>
    <xf numFmtId="0" fontId="14" fillId="0" borderId="0" applyNumberFormat="0" applyFill="0" applyBorder="0" applyAlignment="0" applyProtection="0"/>
    <xf numFmtId="0" fontId="5" fillId="4"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0" fillId="3" borderId="0" applyNumberFormat="0" applyBorder="0" applyAlignment="0" applyProtection="0"/>
    <xf numFmtId="0" fontId="9" fillId="7" borderId="1" applyNumberFormat="0" applyAlignment="0" applyProtection="0"/>
    <xf numFmtId="0" fontId="8" fillId="0" borderId="3" applyNumberFormat="0" applyFill="0" applyAlignment="0" applyProtection="0"/>
    <xf numFmtId="166" fontId="1" fillId="0" borderId="0" applyFont="0" applyFill="0" applyBorder="0" applyAlignment="0" applyProtection="0"/>
    <xf numFmtId="164" fontId="1" fillId="0" borderId="0" applyFont="0" applyFill="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0" borderId="0"/>
    <xf numFmtId="0" fontId="2" fillId="0" borderId="0"/>
    <xf numFmtId="0" fontId="1" fillId="23" borderId="7" applyNumberFormat="0" applyFont="0" applyAlignment="0" applyProtection="0"/>
    <xf numFmtId="0" fontId="1" fillId="23" borderId="7" applyNumberFormat="0" applyFont="0" applyAlignment="0" applyProtection="0"/>
    <xf numFmtId="0" fontId="12" fillId="20" borderId="8" applyNumberFormat="0" applyAlignment="0" applyProtection="0"/>
    <xf numFmtId="9" fontId="1" fillId="0" borderId="0" applyFont="0" applyFill="0" applyBorder="0" applyAlignment="0" applyProtection="0"/>
    <xf numFmtId="0" fontId="12" fillId="20" borderId="8"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0" borderId="9" applyNumberFormat="0" applyFill="0" applyAlignment="0" applyProtection="0"/>
    <xf numFmtId="165" fontId="1" fillId="0" borderId="0" applyFont="0" applyFill="0" applyBorder="0" applyAlignment="0" applyProtection="0"/>
    <xf numFmtId="0" fontId="13" fillId="0" borderId="0" applyNumberFormat="0" applyFill="0" applyBorder="0" applyAlignment="0" applyProtection="0"/>
  </cellStyleXfs>
  <cellXfs count="387">
    <xf numFmtId="0" fontId="0" fillId="0" borderId="0" xfId="0"/>
    <xf numFmtId="0" fontId="0" fillId="0" borderId="0" xfId="0" applyProtection="1"/>
    <xf numFmtId="0" fontId="0" fillId="0" borderId="0" xfId="0" applyFill="1" applyBorder="1" applyProtection="1"/>
    <xf numFmtId="0" fontId="0" fillId="0" borderId="0" xfId="0" applyBorder="1" applyProtection="1"/>
    <xf numFmtId="0" fontId="1" fillId="0" borderId="0" xfId="0" applyFont="1"/>
    <xf numFmtId="0" fontId="20" fillId="0" borderId="0" xfId="0" applyFont="1"/>
    <xf numFmtId="0" fontId="1" fillId="0" borderId="10" xfId="0" applyNumberFormat="1" applyFont="1" applyFill="1" applyBorder="1" applyAlignment="1">
      <alignment horizontal="left" vertical="center"/>
    </xf>
    <xf numFmtId="0" fontId="1" fillId="0" borderId="0" xfId="0" applyNumberFormat="1" applyFont="1" applyFill="1" applyBorder="1" applyAlignment="1">
      <alignment horizontal="left" vertical="center"/>
    </xf>
    <xf numFmtId="0" fontId="22" fillId="0" borderId="0" xfId="0" applyFont="1" applyAlignment="1">
      <alignment horizontal="center"/>
    </xf>
    <xf numFmtId="0" fontId="0" fillId="24" borderId="11" xfId="0" applyFill="1" applyBorder="1" applyAlignment="1" applyProtection="1">
      <alignment vertical="center" wrapText="1"/>
    </xf>
    <xf numFmtId="0" fontId="22" fillId="0" borderId="12" xfId="0" applyFont="1" applyBorder="1" applyAlignment="1" applyProtection="1">
      <alignment horizontal="right"/>
    </xf>
    <xf numFmtId="0" fontId="1" fillId="0" borderId="0" xfId="0" applyFont="1" applyAlignment="1" applyProtection="1">
      <alignment horizontal="center"/>
    </xf>
    <xf numFmtId="0" fontId="0" fillId="0" borderId="0" xfId="0" applyAlignment="1" applyProtection="1">
      <alignment horizontal="left"/>
    </xf>
    <xf numFmtId="0" fontId="1" fillId="0" borderId="0" xfId="0" applyFont="1" applyAlignment="1">
      <alignment horizontal="center"/>
    </xf>
    <xf numFmtId="0" fontId="1" fillId="0" borderId="12" xfId="0" applyFont="1" applyBorder="1" applyAlignment="1">
      <alignment horizontal="center" vertical="center" wrapText="1"/>
    </xf>
    <xf numFmtId="0" fontId="22" fillId="0" borderId="12" xfId="0" applyFont="1" applyBorder="1" applyAlignment="1" applyProtection="1">
      <alignment horizontal="center" vertical="center" wrapText="1"/>
    </xf>
    <xf numFmtId="0" fontId="22" fillId="0" borderId="12" xfId="0" applyFont="1" applyBorder="1" applyAlignment="1" applyProtection="1">
      <alignment horizontal="center" vertical="center"/>
    </xf>
    <xf numFmtId="49" fontId="22" fillId="25" borderId="13" xfId="0" applyNumberFormat="1" applyFont="1" applyFill="1" applyBorder="1" applyAlignment="1" applyProtection="1">
      <alignment horizontal="center" vertical="center"/>
    </xf>
    <xf numFmtId="165" fontId="22" fillId="25" borderId="13" xfId="87" applyNumberFormat="1" applyFont="1" applyFill="1" applyBorder="1" applyAlignment="1" applyProtection="1">
      <alignment horizontal="center" vertical="center"/>
    </xf>
    <xf numFmtId="10" fontId="22" fillId="25" borderId="13" xfId="76" applyNumberFormat="1" applyFont="1" applyFill="1" applyBorder="1" applyAlignment="1" applyProtection="1">
      <alignment horizontal="center" vertical="center"/>
    </xf>
    <xf numFmtId="165" fontId="1" fillId="26" borderId="10" xfId="87" applyFont="1" applyFill="1" applyBorder="1" applyAlignment="1" applyProtection="1">
      <alignment vertical="center"/>
      <protection locked="0"/>
    </xf>
    <xf numFmtId="0" fontId="1" fillId="0" borderId="14" xfId="0" applyFont="1" applyBorder="1" applyAlignment="1">
      <alignment horizontal="center" vertical="center" wrapText="1"/>
    </xf>
    <xf numFmtId="0" fontId="23" fillId="0" borderId="0" xfId="0" applyFont="1"/>
    <xf numFmtId="0" fontId="1" fillId="27" borderId="10" xfId="0" applyNumberFormat="1" applyFont="1" applyFill="1" applyBorder="1" applyAlignment="1">
      <alignment horizontal="center" vertical="center"/>
    </xf>
    <xf numFmtId="0" fontId="0" fillId="0" borderId="0" xfId="0" applyAlignment="1" applyProtection="1">
      <alignment horizontal="right"/>
    </xf>
    <xf numFmtId="0" fontId="1" fillId="0" borderId="10" xfId="0" applyNumberFormat="1" applyFont="1" applyFill="1" applyBorder="1" applyAlignment="1" applyProtection="1">
      <alignment vertical="center"/>
    </xf>
    <xf numFmtId="0" fontId="1" fillId="0" borderId="10" xfId="0" applyNumberFormat="1" applyFont="1" applyFill="1" applyBorder="1" applyAlignment="1" applyProtection="1">
      <alignment horizontal="center" vertical="center"/>
    </xf>
    <xf numFmtId="165" fontId="1" fillId="0" borderId="10" xfId="87" applyFont="1" applyFill="1" applyBorder="1" applyAlignment="1" applyProtection="1">
      <alignment vertical="center"/>
    </xf>
    <xf numFmtId="0" fontId="1" fillId="0" borderId="0" xfId="0" applyFont="1" applyAlignment="1">
      <alignment horizontal="left"/>
    </xf>
    <xf numFmtId="0" fontId="1" fillId="0" borderId="0" xfId="0" applyFont="1" applyAlignment="1">
      <alignment horizontal="center" vertical="center"/>
    </xf>
    <xf numFmtId="165" fontId="1" fillId="0" borderId="0" xfId="87" applyFont="1"/>
    <xf numFmtId="0" fontId="27" fillId="0" borderId="0" xfId="0" applyFont="1" applyAlignment="1">
      <alignment vertical="center"/>
    </xf>
    <xf numFmtId="0" fontId="27" fillId="0" borderId="0" xfId="0" applyFont="1" applyAlignment="1">
      <alignment horizontal="right" vertical="center"/>
    </xf>
    <xf numFmtId="0" fontId="27" fillId="0" borderId="12" xfId="0" applyFont="1" applyBorder="1" applyAlignment="1">
      <alignment horizontal="center" vertical="center"/>
    </xf>
    <xf numFmtId="0" fontId="1" fillId="0" borderId="0" xfId="0" applyFont="1" applyBorder="1" applyAlignment="1" applyProtection="1">
      <alignment horizontal="right"/>
    </xf>
    <xf numFmtId="0" fontId="22" fillId="0" borderId="0" xfId="0" applyFont="1" applyBorder="1" applyAlignment="1" applyProtection="1">
      <alignment horizontal="right"/>
    </xf>
    <xf numFmtId="0" fontId="1" fillId="0" borderId="0" xfId="0" applyFont="1" applyBorder="1"/>
    <xf numFmtId="0" fontId="20" fillId="0" borderId="10" xfId="0" applyFont="1" applyBorder="1"/>
    <xf numFmtId="0" fontId="0" fillId="0" borderId="0" xfId="0" applyFill="1" applyProtection="1"/>
    <xf numFmtId="0" fontId="0" fillId="0" borderId="0" xfId="0" applyFill="1" applyAlignment="1" applyProtection="1">
      <alignment horizontal="left"/>
    </xf>
    <xf numFmtId="0" fontId="1" fillId="0" borderId="0" xfId="0" applyFont="1" applyFill="1" applyAlignment="1" applyProtection="1">
      <alignment horizontal="center"/>
    </xf>
    <xf numFmtId="0" fontId="1" fillId="0" borderId="0" xfId="0" applyFont="1" applyFill="1" applyBorder="1" applyAlignment="1" applyProtection="1">
      <alignment wrapText="1"/>
    </xf>
    <xf numFmtId="0" fontId="0" fillId="0" borderId="0" xfId="0" applyFill="1" applyAlignment="1" applyProtection="1">
      <alignment horizontal="left" wrapText="1"/>
    </xf>
    <xf numFmtId="0" fontId="0" fillId="0" borderId="10" xfId="0" applyBorder="1" applyAlignment="1" applyProtection="1">
      <alignment horizontal="right"/>
    </xf>
    <xf numFmtId="10" fontId="1" fillId="0" borderId="10" xfId="76" applyNumberFormat="1" applyFont="1" applyBorder="1" applyAlignment="1" applyProtection="1">
      <alignment horizontal="left"/>
    </xf>
    <xf numFmtId="0" fontId="0" fillId="24" borderId="15" xfId="0" applyFill="1" applyBorder="1" applyAlignment="1" applyProtection="1">
      <alignment vertical="center" wrapText="1"/>
    </xf>
    <xf numFmtId="0" fontId="1" fillId="0" borderId="0" xfId="0" applyFont="1" applyFill="1" applyBorder="1" applyAlignment="1" applyProtection="1">
      <alignment horizontal="left" wrapText="1" indent="2"/>
    </xf>
    <xf numFmtId="0" fontId="0" fillId="0" borderId="0" xfId="0" applyFill="1" applyAlignment="1" applyProtection="1">
      <alignment horizontal="center"/>
    </xf>
    <xf numFmtId="0" fontId="22" fillId="0" borderId="16" xfId="72" applyFont="1" applyBorder="1" applyAlignment="1" applyProtection="1">
      <alignment horizontal="left" vertical="top"/>
    </xf>
    <xf numFmtId="0" fontId="22" fillId="0" borderId="0" xfId="72" applyFont="1" applyBorder="1" applyAlignment="1" applyProtection="1">
      <alignment horizontal="left" vertical="top"/>
    </xf>
    <xf numFmtId="0" fontId="22" fillId="0" borderId="17" xfId="72" applyFont="1" applyBorder="1" applyAlignment="1" applyProtection="1">
      <alignment horizontal="left" vertical="top"/>
    </xf>
    <xf numFmtId="10" fontId="1" fillId="0" borderId="0" xfId="76" applyNumberFormat="1" applyFont="1" applyBorder="1" applyAlignment="1" applyProtection="1">
      <alignment horizontal="left"/>
    </xf>
    <xf numFmtId="0" fontId="0" fillId="0" borderId="0" xfId="0" applyAlignment="1" applyProtection="1">
      <alignment horizontal="left" indent="2"/>
    </xf>
    <xf numFmtId="14" fontId="30" fillId="0" borderId="0" xfId="0" applyNumberFormat="1" applyFont="1" applyFill="1" applyBorder="1" applyAlignment="1" applyProtection="1">
      <alignment vertical="top" wrapText="1"/>
    </xf>
    <xf numFmtId="0" fontId="31" fillId="0" borderId="0" xfId="0" applyFont="1" applyFill="1" applyAlignment="1" applyProtection="1">
      <alignment horizontal="center"/>
    </xf>
    <xf numFmtId="0" fontId="31" fillId="0" borderId="0" xfId="0" applyFont="1" applyFill="1" applyProtection="1"/>
    <xf numFmtId="0" fontId="2" fillId="0" borderId="10" xfId="0" applyNumberFormat="1" applyFont="1" applyFill="1" applyBorder="1" applyAlignment="1" applyProtection="1">
      <alignment vertical="center"/>
    </xf>
    <xf numFmtId="0" fontId="21" fillId="0" borderId="0" xfId="0" applyFont="1" applyAlignment="1">
      <alignment horizontal="left"/>
    </xf>
    <xf numFmtId="0" fontId="1" fillId="0" borderId="18" xfId="0" applyFont="1" applyBorder="1"/>
    <xf numFmtId="167" fontId="0" fillId="0" borderId="0" xfId="87" applyNumberFormat="1" applyFont="1" applyFill="1" applyBorder="1" applyProtection="1"/>
    <xf numFmtId="0" fontId="21" fillId="24" borderId="11" xfId="0" applyFont="1" applyFill="1" applyBorder="1" applyAlignment="1" applyProtection="1">
      <alignment horizontal="center" wrapText="1"/>
    </xf>
    <xf numFmtId="0" fontId="21" fillId="24" borderId="19" xfId="0" applyFont="1" applyFill="1" applyBorder="1" applyAlignment="1" applyProtection="1">
      <alignment horizontal="center" wrapText="1"/>
    </xf>
    <xf numFmtId="0" fontId="2" fillId="0" borderId="20" xfId="0" applyFont="1" applyBorder="1" applyAlignment="1" applyProtection="1">
      <alignment horizontal="right"/>
    </xf>
    <xf numFmtId="0" fontId="2" fillId="0" borderId="14" xfId="0" applyFont="1" applyBorder="1" applyAlignment="1" applyProtection="1">
      <alignment horizontal="right"/>
    </xf>
    <xf numFmtId="0" fontId="1" fillId="0" borderId="0" xfId="0" applyFont="1" applyAlignment="1" applyProtection="1">
      <alignment horizontal="left"/>
    </xf>
    <xf numFmtId="0" fontId="0" fillId="0" borderId="18" xfId="0" applyFill="1" applyBorder="1" applyAlignment="1" applyProtection="1">
      <alignment horizontal="left"/>
    </xf>
    <xf numFmtId="0" fontId="0" fillId="0" borderId="18" xfId="0" applyFill="1" applyBorder="1" applyProtection="1"/>
    <xf numFmtId="0" fontId="1" fillId="0" borderId="0" xfId="0" applyFont="1" applyFill="1" applyBorder="1" applyAlignment="1" applyProtection="1">
      <alignment vertical="center"/>
      <protection hidden="1"/>
    </xf>
    <xf numFmtId="4" fontId="1" fillId="0" borderId="0" xfId="0" applyNumberFormat="1" applyFont="1" applyFill="1" applyBorder="1" applyAlignment="1" applyProtection="1">
      <alignment vertical="center"/>
      <protection hidden="1"/>
    </xf>
    <xf numFmtId="0" fontId="0" fillId="0" borderId="0" xfId="0" applyFill="1" applyProtection="1">
      <protection hidden="1"/>
    </xf>
    <xf numFmtId="0" fontId="24" fillId="0" borderId="0" xfId="0" applyFont="1" applyFill="1" applyAlignment="1" applyProtection="1">
      <alignment vertical="center"/>
      <protection hidden="1"/>
    </xf>
    <xf numFmtId="0" fontId="0" fillId="0" borderId="0" xfId="0" applyFill="1" applyAlignment="1" applyProtection="1">
      <alignment horizontal="center" vertical="top"/>
      <protection hidden="1"/>
    </xf>
    <xf numFmtId="0" fontId="0" fillId="0" borderId="0" xfId="0" applyProtection="1">
      <protection hidden="1"/>
    </xf>
    <xf numFmtId="0" fontId="1" fillId="0" borderId="14" xfId="0" applyFont="1" applyBorder="1" applyAlignment="1" applyProtection="1">
      <alignment horizontal="center"/>
      <protection hidden="1"/>
    </xf>
    <xf numFmtId="0" fontId="21" fillId="0" borderId="0" xfId="0" applyFont="1" applyAlignment="1" applyProtection="1">
      <alignment horizontal="right" vertical="center"/>
      <protection hidden="1"/>
    </xf>
    <xf numFmtId="0" fontId="21" fillId="0" borderId="0" xfId="0" applyFont="1" applyAlignment="1" applyProtection="1">
      <alignment horizontal="left" vertical="center"/>
      <protection hidden="1"/>
    </xf>
    <xf numFmtId="0" fontId="22" fillId="0" borderId="12" xfId="0" applyFont="1" applyBorder="1" applyAlignment="1" applyProtection="1">
      <alignment horizontal="center"/>
      <protection hidden="1"/>
    </xf>
    <xf numFmtId="0" fontId="1" fillId="0" borderId="0" xfId="0" applyFont="1" applyProtection="1">
      <protection hidden="1"/>
    </xf>
    <xf numFmtId="0" fontId="22" fillId="0" borderId="0" xfId="0" applyFont="1" applyFill="1" applyBorder="1" applyAlignment="1" applyProtection="1">
      <alignment horizontal="center" wrapText="1"/>
      <protection hidden="1"/>
    </xf>
    <xf numFmtId="0" fontId="22" fillId="0" borderId="0" xfId="0" applyFont="1" applyFill="1" applyBorder="1" applyAlignment="1" applyProtection="1">
      <alignment wrapText="1"/>
      <protection hidden="1"/>
    </xf>
    <xf numFmtId="0" fontId="26" fillId="0" borderId="21" xfId="0" applyFont="1" applyFill="1" applyBorder="1" applyAlignment="1" applyProtection="1">
      <alignment horizontal="center" vertical="center"/>
      <protection hidden="1"/>
    </xf>
    <xf numFmtId="0" fontId="26" fillId="0" borderId="13" xfId="0" applyFont="1" applyFill="1" applyBorder="1" applyAlignment="1" applyProtection="1">
      <alignment horizontal="center" vertical="center" wrapText="1"/>
      <protection hidden="1"/>
    </xf>
    <xf numFmtId="0" fontId="26" fillId="0" borderId="22" xfId="0" applyFont="1" applyFill="1" applyBorder="1" applyAlignment="1" applyProtection="1">
      <alignment horizontal="center" vertical="center" wrapText="1"/>
      <protection hidden="1"/>
    </xf>
    <xf numFmtId="4" fontId="22" fillId="0" borderId="0" xfId="0" applyNumberFormat="1" applyFont="1" applyFill="1" applyBorder="1" applyAlignment="1" applyProtection="1">
      <protection hidden="1"/>
    </xf>
    <xf numFmtId="0" fontId="22" fillId="0" borderId="0" xfId="0" applyFont="1" applyFill="1" applyBorder="1" applyAlignment="1" applyProtection="1">
      <alignment horizontal="center" vertical="center"/>
      <protection hidden="1"/>
    </xf>
    <xf numFmtId="0" fontId="22" fillId="0" borderId="0" xfId="0" applyFont="1" applyFill="1" applyBorder="1" applyProtection="1">
      <protection hidden="1"/>
    </xf>
    <xf numFmtId="0" fontId="22" fillId="28" borderId="23" xfId="0" applyFont="1" applyFill="1" applyBorder="1" applyAlignment="1" applyProtection="1">
      <alignment horizontal="center" vertical="center"/>
      <protection hidden="1"/>
    </xf>
    <xf numFmtId="4" fontId="22" fillId="0" borderId="0" xfId="0" applyNumberFormat="1" applyFont="1" applyFill="1" applyBorder="1" applyAlignment="1" applyProtection="1">
      <alignment horizontal="center" vertical="center"/>
      <protection hidden="1"/>
    </xf>
    <xf numFmtId="0" fontId="22" fillId="28" borderId="24" xfId="0" applyFont="1" applyFill="1" applyBorder="1" applyAlignment="1" applyProtection="1">
      <alignment horizontal="center" vertical="center"/>
      <protection hidden="1"/>
    </xf>
    <xf numFmtId="0" fontId="22" fillId="27" borderId="16" xfId="0" applyFont="1" applyFill="1" applyBorder="1" applyAlignment="1" applyProtection="1">
      <alignment horizontal="center" vertical="center"/>
      <protection hidden="1"/>
    </xf>
    <xf numFmtId="0" fontId="22" fillId="27" borderId="24"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0" borderId="0" xfId="0" applyFont="1" applyFill="1" applyBorder="1" applyAlignment="1" applyProtection="1">
      <alignment horizontal="center"/>
      <protection hidden="1"/>
    </xf>
    <xf numFmtId="0" fontId="2" fillId="0" borderId="0" xfId="0" applyFont="1" applyFill="1" applyBorder="1" applyProtection="1">
      <protection hidden="1"/>
    </xf>
    <xf numFmtId="4" fontId="2" fillId="0" borderId="0" xfId="0" applyNumberFormat="1" applyFont="1" applyFill="1" applyBorder="1" applyProtection="1">
      <protection hidden="1"/>
    </xf>
    <xf numFmtId="0" fontId="1" fillId="0" borderId="0" xfId="0" applyFont="1" applyBorder="1" applyAlignment="1" applyProtection="1">
      <alignment vertical="center"/>
      <protection hidden="1"/>
    </xf>
    <xf numFmtId="0" fontId="1" fillId="0" borderId="0" xfId="0" applyFont="1" applyFill="1" applyBorder="1" applyAlignment="1" applyProtection="1">
      <alignment horizontal="left" vertical="center"/>
      <protection hidden="1"/>
    </xf>
    <xf numFmtId="0" fontId="1" fillId="0" borderId="0" xfId="0" applyFont="1" applyFill="1" applyBorder="1" applyAlignment="1" applyProtection="1">
      <alignment horizontal="right" vertical="center"/>
      <protection hidden="1"/>
    </xf>
    <xf numFmtId="0" fontId="0" fillId="0" borderId="0" xfId="0" applyAlignment="1" applyProtection="1">
      <alignment horizontal="right" vertical="center"/>
      <protection hidden="1"/>
    </xf>
    <xf numFmtId="0" fontId="1" fillId="0" borderId="0" xfId="0" applyFont="1" applyBorder="1" applyProtection="1">
      <protection hidden="1"/>
    </xf>
    <xf numFmtId="0" fontId="2" fillId="0" borderId="0" xfId="0" applyFont="1" applyBorder="1" applyProtection="1">
      <protection hidden="1"/>
    </xf>
    <xf numFmtId="0" fontId="2" fillId="0" borderId="0" xfId="0" applyFont="1" applyProtection="1">
      <protection hidden="1"/>
    </xf>
    <xf numFmtId="4" fontId="2" fillId="0" borderId="0" xfId="0" applyNumberFormat="1" applyFont="1" applyProtection="1">
      <protection hidden="1"/>
    </xf>
    <xf numFmtId="0" fontId="1" fillId="0" borderId="0" xfId="0" applyFont="1" applyBorder="1" applyAlignment="1" applyProtection="1">
      <alignment horizontal="left"/>
      <protection hidden="1"/>
    </xf>
    <xf numFmtId="0" fontId="1" fillId="0" borderId="0" xfId="0" applyFont="1" applyBorder="1" applyAlignment="1" applyProtection="1">
      <alignment vertical="top"/>
      <protection hidden="1"/>
    </xf>
    <xf numFmtId="0" fontId="1" fillId="0" borderId="0" xfId="0" applyFont="1" applyBorder="1" applyAlignment="1" applyProtection="1">
      <alignment horizontal="center"/>
      <protection hidden="1"/>
    </xf>
    <xf numFmtId="0" fontId="1" fillId="0" borderId="0" xfId="0" applyFont="1" applyAlignment="1" applyProtection="1">
      <alignment horizontal="center"/>
      <protection hidden="1"/>
    </xf>
    <xf numFmtId="14" fontId="1" fillId="0" borderId="0" xfId="0" applyNumberFormat="1" applyFont="1" applyBorder="1" applyAlignment="1" applyProtection="1">
      <alignment horizontal="center" vertical="center"/>
      <protection locked="0" hidden="1"/>
    </xf>
    <xf numFmtId="0" fontId="1" fillId="0" borderId="0" xfId="0" applyFont="1" applyFill="1" applyBorder="1" applyAlignment="1" applyProtection="1">
      <alignment horizontal="center" vertical="center"/>
      <protection hidden="1"/>
    </xf>
    <xf numFmtId="0" fontId="1" fillId="0" borderId="16" xfId="0" applyFont="1" applyFill="1" applyBorder="1" applyAlignment="1" applyProtection="1">
      <alignment horizontal="center" vertical="center"/>
      <protection hidden="1"/>
    </xf>
    <xf numFmtId="0" fontId="1" fillId="0" borderId="23" xfId="0" applyFont="1" applyFill="1" applyBorder="1" applyAlignment="1" applyProtection="1">
      <alignment horizontal="center" vertical="center"/>
      <protection hidden="1"/>
    </xf>
    <xf numFmtId="0" fontId="1" fillId="26" borderId="25" xfId="0" applyFont="1" applyFill="1" applyBorder="1" applyAlignment="1" applyProtection="1">
      <alignment horizontal="center" vertical="center"/>
      <protection hidden="1"/>
    </xf>
    <xf numFmtId="10" fontId="32" fillId="26" borderId="26" xfId="76" applyNumberFormat="1" applyFont="1" applyFill="1" applyBorder="1" applyAlignment="1" applyProtection="1">
      <alignment horizontal="center" vertical="center"/>
      <protection locked="0" hidden="1"/>
    </xf>
    <xf numFmtId="10" fontId="32" fillId="26" borderId="27" xfId="76" applyNumberFormat="1" applyFont="1" applyFill="1" applyBorder="1" applyAlignment="1" applyProtection="1">
      <alignment horizontal="center" vertical="center"/>
      <protection locked="0" hidden="1"/>
    </xf>
    <xf numFmtId="0" fontId="1" fillId="0" borderId="28" xfId="0" applyFont="1" applyFill="1" applyBorder="1" applyAlignment="1" applyProtection="1">
      <alignment horizontal="center" vertical="center"/>
      <protection hidden="1"/>
    </xf>
    <xf numFmtId="10" fontId="32" fillId="0" borderId="29" xfId="76" applyNumberFormat="1" applyFont="1" applyFill="1" applyBorder="1" applyAlignment="1" applyProtection="1">
      <alignment horizontal="center" vertical="center"/>
      <protection hidden="1"/>
    </xf>
    <xf numFmtId="10" fontId="32" fillId="0" borderId="30" xfId="76" applyNumberFormat="1" applyFont="1" applyFill="1" applyBorder="1" applyAlignment="1" applyProtection="1">
      <alignment horizontal="center" vertical="center"/>
      <protection hidden="1"/>
    </xf>
    <xf numFmtId="10" fontId="32" fillId="26" borderId="26" xfId="76" applyNumberFormat="1" applyFont="1" applyFill="1" applyBorder="1" applyAlignment="1" applyProtection="1">
      <alignment horizontal="center" vertical="center"/>
      <protection hidden="1"/>
    </xf>
    <xf numFmtId="10" fontId="32" fillId="26" borderId="27" xfId="76" applyNumberFormat="1" applyFont="1" applyFill="1" applyBorder="1" applyAlignment="1" applyProtection="1">
      <alignment horizontal="center" vertical="center"/>
      <protection hidden="1"/>
    </xf>
    <xf numFmtId="10" fontId="32" fillId="0" borderId="31" xfId="76" applyNumberFormat="1" applyFont="1" applyFill="1" applyBorder="1" applyAlignment="1" applyProtection="1">
      <alignment horizontal="center" vertical="center"/>
      <protection hidden="1"/>
    </xf>
    <xf numFmtId="10" fontId="32" fillId="0" borderId="32" xfId="76" applyNumberFormat="1" applyFont="1" applyFill="1" applyBorder="1" applyAlignment="1" applyProtection="1">
      <alignment horizontal="center" vertical="center"/>
      <protection hidden="1"/>
    </xf>
    <xf numFmtId="10" fontId="32" fillId="0" borderId="0" xfId="76" applyNumberFormat="1" applyFont="1" applyFill="1" applyBorder="1" applyAlignment="1" applyProtection="1">
      <alignment horizontal="center" vertical="center"/>
      <protection hidden="1"/>
    </xf>
    <xf numFmtId="10" fontId="32" fillId="0" borderId="17" xfId="76" applyNumberFormat="1" applyFont="1" applyFill="1" applyBorder="1" applyAlignment="1" applyProtection="1">
      <alignment horizontal="center" vertical="center"/>
      <protection hidden="1"/>
    </xf>
    <xf numFmtId="0" fontId="26" fillId="0" borderId="21"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left" wrapText="1"/>
    </xf>
    <xf numFmtId="0" fontId="1" fillId="0" borderId="0" xfId="0" applyFont="1" applyFill="1" applyBorder="1" applyAlignment="1" applyProtection="1">
      <alignment horizontal="left" wrapText="1" indent="1"/>
    </xf>
    <xf numFmtId="0" fontId="22" fillId="0" borderId="0" xfId="0" applyFont="1" applyFill="1" applyBorder="1" applyAlignment="1" applyProtection="1">
      <alignment horizontal="left" wrapText="1" indent="1"/>
    </xf>
    <xf numFmtId="0" fontId="22" fillId="0" borderId="0" xfId="0" applyFont="1" applyAlignment="1" applyProtection="1">
      <alignment horizontal="left" indent="1"/>
    </xf>
    <xf numFmtId="0" fontId="1" fillId="0" borderId="0" xfId="71" applyFont="1" applyProtection="1"/>
    <xf numFmtId="0" fontId="22" fillId="0" borderId="0" xfId="71" applyFont="1" applyAlignment="1" applyProtection="1">
      <alignment horizontal="center"/>
    </xf>
    <xf numFmtId="0" fontId="22" fillId="0" borderId="10" xfId="71" applyFont="1" applyBorder="1" applyAlignment="1" applyProtection="1">
      <alignment horizontal="center"/>
    </xf>
    <xf numFmtId="10" fontId="33" fillId="0" borderId="10" xfId="71" applyNumberFormat="1" applyFont="1" applyFill="1" applyBorder="1" applyAlignment="1" applyProtection="1">
      <alignment horizontal="center"/>
    </xf>
    <xf numFmtId="0" fontId="21" fillId="0" borderId="0" xfId="71" applyFont="1" applyAlignment="1" applyProtection="1">
      <alignment horizontal="center"/>
    </xf>
    <xf numFmtId="0" fontId="34" fillId="0" borderId="0" xfId="71" applyFont="1" applyAlignment="1" applyProtection="1"/>
    <xf numFmtId="0" fontId="22" fillId="0" borderId="0" xfId="71" applyFont="1" applyProtection="1"/>
    <xf numFmtId="0" fontId="22" fillId="0" borderId="10" xfId="71" applyFont="1" applyFill="1" applyBorder="1" applyAlignment="1" applyProtection="1">
      <alignment horizontal="center" vertical="center" wrapText="1"/>
    </xf>
    <xf numFmtId="0" fontId="26" fillId="0" borderId="10" xfId="71" applyFont="1" applyFill="1" applyBorder="1" applyAlignment="1" applyProtection="1">
      <alignment horizontal="center" vertical="center"/>
    </xf>
    <xf numFmtId="0" fontId="22" fillId="0" borderId="10" xfId="71" applyFont="1" applyFill="1" applyBorder="1" applyAlignment="1" applyProtection="1">
      <alignment horizontal="center" vertical="center"/>
    </xf>
    <xf numFmtId="0" fontId="32" fillId="0" borderId="10" xfId="71" applyFont="1" applyBorder="1" applyAlignment="1" applyProtection="1">
      <alignment horizontal="center" vertical="center"/>
    </xf>
    <xf numFmtId="10" fontId="32" fillId="26" borderId="10" xfId="71" applyNumberFormat="1" applyFont="1" applyFill="1" applyBorder="1" applyAlignment="1" applyProtection="1">
      <alignment horizontal="center" vertical="center"/>
      <protection locked="0"/>
    </xf>
    <xf numFmtId="4" fontId="26" fillId="0" borderId="10" xfId="71" applyNumberFormat="1" applyFont="1" applyFill="1" applyBorder="1" applyAlignment="1" applyProtection="1">
      <alignment horizontal="center" vertical="center"/>
    </xf>
    <xf numFmtId="10" fontId="32" fillId="0" borderId="10" xfId="71" applyNumberFormat="1" applyFont="1" applyFill="1" applyBorder="1" applyAlignment="1" applyProtection="1">
      <alignment horizontal="center" vertical="center"/>
    </xf>
    <xf numFmtId="10" fontId="32" fillId="0" borderId="10" xfId="71" applyNumberFormat="1" applyFont="1" applyFill="1" applyBorder="1" applyAlignment="1" applyProtection="1">
      <alignment horizontal="center" vertical="center" wrapText="1"/>
    </xf>
    <xf numFmtId="0" fontId="32" fillId="0" borderId="10" xfId="71" applyFont="1" applyFill="1" applyBorder="1" applyAlignment="1" applyProtection="1">
      <alignment horizontal="center" vertical="center" wrapText="1"/>
    </xf>
    <xf numFmtId="0" fontId="41" fillId="0" borderId="0" xfId="71" applyFont="1" applyFill="1" applyBorder="1" applyAlignment="1" applyProtection="1">
      <alignment horizontal="center" vertical="center" wrapText="1"/>
    </xf>
    <xf numFmtId="10" fontId="41" fillId="0" borderId="0" xfId="71" applyNumberFormat="1" applyFont="1" applyFill="1" applyBorder="1" applyAlignment="1" applyProtection="1">
      <alignment horizontal="center" vertical="center"/>
    </xf>
    <xf numFmtId="4" fontId="26" fillId="0" borderId="0" xfId="71" applyNumberFormat="1" applyFont="1" applyFill="1" applyBorder="1" applyAlignment="1" applyProtection="1">
      <alignment horizontal="center" vertical="center"/>
    </xf>
    <xf numFmtId="0" fontId="1" fillId="0" borderId="0" xfId="71" applyFont="1" applyAlignment="1" applyProtection="1">
      <alignment horizontal="right"/>
    </xf>
    <xf numFmtId="170" fontId="1" fillId="0" borderId="0" xfId="71" applyNumberFormat="1" applyFont="1" applyAlignment="1" applyProtection="1"/>
    <xf numFmtId="0" fontId="32" fillId="0" borderId="0" xfId="71" applyFont="1" applyBorder="1" applyProtection="1"/>
    <xf numFmtId="0" fontId="1" fillId="0" borderId="0" xfId="71" applyFont="1" applyBorder="1" applyProtection="1"/>
    <xf numFmtId="0" fontId="32" fillId="0" borderId="0" xfId="71" applyFont="1" applyProtection="1"/>
    <xf numFmtId="0" fontId="32" fillId="0" borderId="0" xfId="71" applyFont="1" applyAlignment="1" applyProtection="1">
      <alignment vertical="top"/>
    </xf>
    <xf numFmtId="0" fontId="36" fillId="0" borderId="0" xfId="71" applyFont="1" applyBorder="1" applyAlignment="1" applyProtection="1">
      <alignment horizontal="center" vertical="top"/>
    </xf>
    <xf numFmtId="0" fontId="1" fillId="0" borderId="0" xfId="0" applyFont="1" applyFill="1" applyBorder="1" applyAlignment="1" applyProtection="1">
      <alignment horizontal="left" wrapText="1" indent="3"/>
    </xf>
    <xf numFmtId="0" fontId="0" fillId="0" borderId="0" xfId="0" applyAlignment="1" applyProtection="1">
      <alignment horizontal="left" indent="3"/>
    </xf>
    <xf numFmtId="0" fontId="1" fillId="0" borderId="24" xfId="0" applyFont="1" applyBorder="1" applyAlignment="1">
      <alignment horizontal="center" vertical="center" wrapText="1"/>
    </xf>
    <xf numFmtId="0" fontId="1" fillId="27" borderId="21" xfId="0" applyNumberFormat="1" applyFont="1" applyFill="1" applyBorder="1" applyAlignment="1">
      <alignment horizontal="center" vertical="center"/>
    </xf>
    <xf numFmtId="49" fontId="1" fillId="0" borderId="33" xfId="0" applyNumberFormat="1" applyFont="1" applyFill="1" applyBorder="1" applyAlignment="1" applyProtection="1">
      <alignment vertical="center" wrapText="1"/>
      <protection locked="0"/>
    </xf>
    <xf numFmtId="49" fontId="1" fillId="0" borderId="33" xfId="0" applyNumberFormat="1" applyFont="1" applyFill="1" applyBorder="1" applyAlignment="1" applyProtection="1">
      <alignment horizontal="center" vertical="center"/>
      <protection locked="0"/>
    </xf>
    <xf numFmtId="165" fontId="1" fillId="0" borderId="33" xfId="87" applyNumberFormat="1" applyFont="1" applyFill="1" applyBorder="1" applyAlignment="1">
      <alignment vertical="center"/>
    </xf>
    <xf numFmtId="165" fontId="1" fillId="0" borderId="33" xfId="87" applyFont="1" applyFill="1" applyBorder="1" applyAlignment="1" applyProtection="1">
      <alignment vertical="center"/>
      <protection locked="0"/>
    </xf>
    <xf numFmtId="10" fontId="1" fillId="0" borderId="33" xfId="76" applyNumberFormat="1" applyFont="1" applyFill="1" applyBorder="1" applyAlignment="1" applyProtection="1">
      <alignment horizontal="center" vertical="center"/>
      <protection locked="0"/>
    </xf>
    <xf numFmtId="0" fontId="22" fillId="0" borderId="10" xfId="0" applyFont="1" applyBorder="1" applyAlignment="1" applyProtection="1">
      <alignment horizontal="center" vertical="center" wrapText="1"/>
    </xf>
    <xf numFmtId="0" fontId="22" fillId="0" borderId="10" xfId="0" applyFont="1" applyBorder="1" applyAlignment="1" applyProtection="1">
      <alignment horizontal="center" vertical="center"/>
    </xf>
    <xf numFmtId="0" fontId="1" fillId="0" borderId="34" xfId="0" applyNumberFormat="1" applyFont="1" applyFill="1" applyBorder="1" applyAlignment="1">
      <alignment vertical="center"/>
    </xf>
    <xf numFmtId="0" fontId="22" fillId="25" borderId="23" xfId="0" applyNumberFormat="1" applyFont="1" applyFill="1" applyBorder="1" applyAlignment="1" applyProtection="1">
      <alignment horizontal="center" vertical="center"/>
    </xf>
    <xf numFmtId="49" fontId="28" fillId="25" borderId="29" xfId="0" applyNumberFormat="1" applyFont="1" applyFill="1" applyBorder="1" applyAlignment="1" applyProtection="1">
      <alignment horizontal="center" vertical="center"/>
    </xf>
    <xf numFmtId="49" fontId="22" fillId="25" borderId="29" xfId="0" applyNumberFormat="1" applyFont="1" applyFill="1" applyBorder="1" applyAlignment="1" applyProtection="1">
      <alignment horizontal="center" vertical="center" wrapText="1"/>
      <protection locked="0"/>
    </xf>
    <xf numFmtId="165" fontId="28" fillId="25" borderId="29" xfId="87" applyNumberFormat="1" applyFont="1" applyFill="1" applyBorder="1" applyAlignment="1" applyProtection="1">
      <alignment horizontal="center" vertical="center"/>
    </xf>
    <xf numFmtId="10" fontId="28" fillId="25" borderId="29" xfId="76" applyNumberFormat="1" applyFont="1" applyFill="1" applyBorder="1" applyAlignment="1" applyProtection="1">
      <alignment horizontal="center" vertical="center"/>
    </xf>
    <xf numFmtId="0" fontId="28" fillId="25" borderId="35" xfId="0" applyNumberFormat="1" applyFont="1" applyFill="1" applyBorder="1" applyAlignment="1" applyProtection="1">
      <alignment horizontal="center" vertical="center"/>
    </xf>
    <xf numFmtId="0" fontId="22" fillId="25" borderId="10" xfId="0" applyNumberFormat="1" applyFont="1" applyFill="1" applyBorder="1" applyAlignment="1" applyProtection="1">
      <alignment horizontal="center" vertical="center"/>
    </xf>
    <xf numFmtId="0" fontId="42" fillId="25" borderId="21" xfId="0" applyNumberFormat="1" applyFont="1" applyFill="1" applyBorder="1" applyAlignment="1" applyProtection="1">
      <alignment horizontal="center" vertical="center"/>
    </xf>
    <xf numFmtId="0" fontId="1" fillId="0" borderId="14" xfId="0" applyFont="1" applyBorder="1" applyAlignment="1" applyProtection="1">
      <alignment horizontal="center"/>
    </xf>
    <xf numFmtId="0" fontId="22" fillId="0" borderId="12" xfId="0" applyFont="1" applyBorder="1" applyAlignment="1" applyProtection="1">
      <alignment horizontal="center"/>
    </xf>
    <xf numFmtId="0" fontId="1" fillId="24" borderId="11" xfId="0" applyFont="1" applyFill="1" applyBorder="1" applyAlignment="1" applyProtection="1">
      <alignment vertical="center" wrapText="1"/>
    </xf>
    <xf numFmtId="0" fontId="1" fillId="24" borderId="19" xfId="0" applyFont="1" applyFill="1" applyBorder="1" applyAlignment="1" applyProtection="1">
      <alignment vertical="center" wrapText="1"/>
    </xf>
    <xf numFmtId="0" fontId="1" fillId="0" borderId="12" xfId="0" applyFont="1" applyBorder="1"/>
    <xf numFmtId="0" fontId="1" fillId="0" borderId="12" xfId="0" applyFont="1" applyFill="1" applyBorder="1"/>
    <xf numFmtId="0" fontId="1" fillId="0" borderId="0" xfId="0" applyFont="1" applyFill="1"/>
    <xf numFmtId="0" fontId="38" fillId="0" borderId="0" xfId="0" applyFont="1" applyFill="1" applyAlignment="1">
      <alignment vertical="center"/>
    </xf>
    <xf numFmtId="0" fontId="1" fillId="0" borderId="0" xfId="0" applyFont="1" applyFill="1" applyAlignment="1">
      <alignment horizontal="center" vertical="top"/>
    </xf>
    <xf numFmtId="0" fontId="1" fillId="0" borderId="10" xfId="0" applyFont="1" applyBorder="1"/>
    <xf numFmtId="0" fontId="1" fillId="0" borderId="0" xfId="0" applyFont="1" applyProtection="1"/>
    <xf numFmtId="0" fontId="1" fillId="0" borderId="29" xfId="0" applyFont="1" applyBorder="1"/>
    <xf numFmtId="0" fontId="32" fillId="0" borderId="0" xfId="0" applyFont="1"/>
    <xf numFmtId="0" fontId="21" fillId="0" borderId="0" xfId="0" applyFont="1" applyAlignment="1">
      <alignment horizontal="right"/>
    </xf>
    <xf numFmtId="0" fontId="22" fillId="26" borderId="0" xfId="0" applyFont="1" applyFill="1" applyAlignment="1" applyProtection="1">
      <protection locked="0"/>
    </xf>
    <xf numFmtId="0" fontId="22" fillId="25" borderId="13" xfId="0" applyNumberFormat="1" applyFont="1" applyFill="1" applyBorder="1" applyAlignment="1" applyProtection="1">
      <alignment horizontal="center" vertical="center" wrapText="1"/>
    </xf>
    <xf numFmtId="0" fontId="1" fillId="0" borderId="0" xfId="71" applyFont="1" applyAlignment="1" applyProtection="1">
      <alignment horizontal="center"/>
    </xf>
    <xf numFmtId="0" fontId="1" fillId="26" borderId="24" xfId="0" applyFont="1" applyFill="1" applyBorder="1" applyAlignment="1" applyProtection="1">
      <alignment horizontal="left" vertical="top" wrapText="1"/>
      <protection locked="0"/>
    </xf>
    <xf numFmtId="0" fontId="1" fillId="0" borderId="17" xfId="0" applyFont="1" applyBorder="1"/>
    <xf numFmtId="0" fontId="32" fillId="0" borderId="16" xfId="0" applyFont="1" applyBorder="1" applyAlignment="1" applyProtection="1">
      <alignment horizontal="left" vertical="center"/>
    </xf>
    <xf numFmtId="0" fontId="1" fillId="26" borderId="24" xfId="0" applyFont="1" applyFill="1" applyBorder="1" applyAlignment="1" applyProtection="1">
      <alignment vertical="top" wrapText="1"/>
      <protection locked="0"/>
    </xf>
    <xf numFmtId="0" fontId="22" fillId="0" borderId="16" xfId="72" applyFont="1" applyBorder="1" applyAlignment="1" applyProtection="1">
      <alignment vertical="top"/>
    </xf>
    <xf numFmtId="0" fontId="22" fillId="0" borderId="0" xfId="72" applyFont="1" applyBorder="1" applyAlignment="1" applyProtection="1">
      <alignment vertical="top"/>
    </xf>
    <xf numFmtId="0" fontId="22" fillId="0" borderId="17" xfId="72" applyFont="1" applyBorder="1" applyAlignment="1" applyProtection="1">
      <alignment vertical="top"/>
    </xf>
    <xf numFmtId="0" fontId="22" fillId="0" borderId="14" xfId="72" applyFont="1" applyBorder="1" applyAlignment="1" applyProtection="1">
      <alignment horizontal="center" vertical="top"/>
    </xf>
    <xf numFmtId="10" fontId="39" fillId="26" borderId="12" xfId="76" applyNumberFormat="1" applyFont="1" applyFill="1" applyBorder="1" applyAlignment="1" applyProtection="1">
      <alignment horizontal="center" vertical="top" wrapText="1"/>
      <protection hidden="1"/>
    </xf>
    <xf numFmtId="10" fontId="0" fillId="0" borderId="12" xfId="76" applyNumberFormat="1" applyFont="1" applyFill="1" applyBorder="1" applyAlignment="1" applyProtection="1">
      <alignment horizontal="center" vertical="top" wrapText="1"/>
      <protection hidden="1"/>
    </xf>
    <xf numFmtId="0" fontId="0" fillId="0" borderId="0" xfId="0" applyFont="1" applyProtection="1"/>
    <xf numFmtId="10" fontId="39" fillId="26" borderId="24" xfId="76" applyNumberFormat="1" applyFont="1" applyFill="1" applyBorder="1" applyAlignment="1" applyProtection="1">
      <alignment horizontal="left" vertical="top" wrapText="1"/>
      <protection locked="0" hidden="1"/>
    </xf>
    <xf numFmtId="0" fontId="1" fillId="26" borderId="24" xfId="0" applyFont="1" applyFill="1" applyBorder="1" applyAlignment="1" applyProtection="1">
      <alignment vertical="top" wrapText="1"/>
    </xf>
    <xf numFmtId="10" fontId="39" fillId="26" borderId="12" xfId="76" applyNumberFormat="1" applyFont="1" applyFill="1" applyBorder="1" applyAlignment="1" applyProtection="1">
      <alignment horizontal="center" vertical="top" wrapText="1"/>
    </xf>
    <xf numFmtId="10" fontId="0" fillId="0" borderId="12" xfId="76" applyNumberFormat="1" applyFont="1" applyFill="1" applyBorder="1" applyAlignment="1" applyProtection="1">
      <alignment horizontal="center" vertical="top" wrapText="1"/>
    </xf>
    <xf numFmtId="0" fontId="1" fillId="26" borderId="24" xfId="0" applyFont="1" applyFill="1" applyBorder="1" applyAlignment="1" applyProtection="1">
      <alignment horizontal="left" vertical="top" wrapText="1"/>
    </xf>
    <xf numFmtId="10" fontId="39" fillId="26" borderId="24" xfId="76" applyNumberFormat="1" applyFont="1" applyFill="1" applyBorder="1" applyAlignment="1" applyProtection="1">
      <alignment horizontal="left" vertical="top" wrapText="1"/>
    </xf>
    <xf numFmtId="165" fontId="22" fillId="25" borderId="22" xfId="87" applyNumberFormat="1" applyFont="1" applyFill="1" applyBorder="1" applyAlignment="1" applyProtection="1">
      <alignment horizontal="center" vertical="center" shrinkToFit="1"/>
    </xf>
    <xf numFmtId="165" fontId="1" fillId="0" borderId="36" xfId="87" applyNumberFormat="1" applyFont="1" applyFill="1" applyBorder="1" applyAlignment="1">
      <alignment horizontal="center" vertical="center" shrinkToFit="1"/>
    </xf>
    <xf numFmtId="165" fontId="22" fillId="25" borderId="30" xfId="87" applyNumberFormat="1" applyFont="1" applyFill="1" applyBorder="1" applyAlignment="1" applyProtection="1">
      <alignment horizontal="center" vertical="center" shrinkToFit="1"/>
    </xf>
    <xf numFmtId="0" fontId="21" fillId="0" borderId="0" xfId="0" applyFont="1" applyAlignment="1">
      <alignment horizontal="left" vertical="center"/>
    </xf>
    <xf numFmtId="0" fontId="2" fillId="0" borderId="37" xfId="0" applyNumberFormat="1" applyFont="1" applyFill="1" applyBorder="1" applyAlignment="1" applyProtection="1">
      <alignment vertical="center"/>
      <protection locked="0"/>
    </xf>
    <xf numFmtId="1" fontId="1" fillId="0" borderId="10" xfId="0" applyNumberFormat="1" applyFont="1" applyFill="1" applyBorder="1" applyAlignment="1">
      <alignment horizontal="center" vertical="center"/>
    </xf>
    <xf numFmtId="1" fontId="1" fillId="27" borderId="21" xfId="0" applyNumberFormat="1" applyFont="1" applyFill="1" applyBorder="1" applyAlignment="1">
      <alignment horizontal="center" vertical="center"/>
    </xf>
    <xf numFmtId="10" fontId="26" fillId="28" borderId="29" xfId="76" applyNumberFormat="1" applyFont="1" applyFill="1" applyBorder="1" applyAlignment="1" applyProtection="1">
      <alignment horizontal="center" vertical="center" shrinkToFit="1"/>
      <protection hidden="1"/>
    </xf>
    <xf numFmtId="10" fontId="26" fillId="28" borderId="30" xfId="76" applyNumberFormat="1" applyFont="1" applyFill="1" applyBorder="1" applyAlignment="1" applyProtection="1">
      <alignment horizontal="center" vertical="center" shrinkToFit="1"/>
      <protection hidden="1"/>
    </xf>
    <xf numFmtId="169" fontId="26" fillId="28" borderId="18" xfId="87" applyNumberFormat="1" applyFont="1" applyFill="1" applyBorder="1" applyAlignment="1" applyProtection="1">
      <alignment horizontal="center" vertical="center" shrinkToFit="1"/>
      <protection hidden="1"/>
    </xf>
    <xf numFmtId="169" fontId="26" fillId="28" borderId="38" xfId="87" applyNumberFormat="1" applyFont="1" applyFill="1" applyBorder="1" applyAlignment="1" applyProtection="1">
      <alignment horizontal="center" vertical="center" shrinkToFit="1"/>
      <protection hidden="1"/>
    </xf>
    <xf numFmtId="10" fontId="26" fillId="27" borderId="0" xfId="76" applyNumberFormat="1" applyFont="1" applyFill="1" applyBorder="1" applyAlignment="1" applyProtection="1">
      <alignment horizontal="center" vertical="center" shrinkToFit="1"/>
      <protection hidden="1"/>
    </xf>
    <xf numFmtId="10" fontId="26" fillId="27" borderId="17" xfId="76" applyNumberFormat="1" applyFont="1" applyFill="1" applyBorder="1" applyAlignment="1" applyProtection="1">
      <alignment horizontal="center" vertical="center" shrinkToFit="1"/>
      <protection hidden="1"/>
    </xf>
    <xf numFmtId="10" fontId="26" fillId="27" borderId="29" xfId="76" applyNumberFormat="1" applyFont="1" applyFill="1" applyBorder="1" applyAlignment="1" applyProtection="1">
      <alignment horizontal="center" vertical="center" shrinkToFit="1"/>
      <protection hidden="1"/>
    </xf>
    <xf numFmtId="10" fontId="26" fillId="27" borderId="30" xfId="76" applyNumberFormat="1" applyFont="1" applyFill="1" applyBorder="1" applyAlignment="1" applyProtection="1">
      <alignment horizontal="center" vertical="center" shrinkToFit="1"/>
      <protection hidden="1"/>
    </xf>
    <xf numFmtId="169" fontId="26" fillId="27" borderId="18" xfId="87" applyNumberFormat="1" applyFont="1" applyFill="1" applyBorder="1" applyAlignment="1" applyProtection="1">
      <alignment horizontal="center" vertical="center" shrinkToFit="1"/>
      <protection hidden="1"/>
    </xf>
    <xf numFmtId="169" fontId="26" fillId="27" borderId="38" xfId="87" applyNumberFormat="1" applyFont="1" applyFill="1" applyBorder="1" applyAlignment="1" applyProtection="1">
      <alignment horizontal="center" vertical="center" shrinkToFit="1"/>
      <protection hidden="1"/>
    </xf>
    <xf numFmtId="0" fontId="1" fillId="0" borderId="0" xfId="71" applyFont="1" applyBorder="1" applyAlignment="1" applyProtection="1">
      <alignment horizontal="center" vertical="top"/>
    </xf>
    <xf numFmtId="0" fontId="40" fillId="0" borderId="0" xfId="72" applyFont="1" applyBorder="1" applyAlignment="1" applyProtection="1">
      <alignment horizontal="left" vertical="top"/>
    </xf>
    <xf numFmtId="0" fontId="37" fillId="0" borderId="0" xfId="0" applyFont="1" applyAlignment="1">
      <alignment horizontal="left" vertical="center"/>
    </xf>
    <xf numFmtId="0" fontId="1" fillId="26" borderId="10" xfId="0" applyFont="1" applyFill="1" applyBorder="1" applyAlignment="1" applyProtection="1">
      <alignment horizontal="center" textRotation="90" wrapText="1"/>
      <protection locked="0"/>
    </xf>
    <xf numFmtId="165" fontId="1" fillId="26" borderId="10" xfId="0" applyNumberFormat="1" applyFont="1" applyFill="1" applyBorder="1" applyAlignment="1" applyProtection="1">
      <alignment horizontal="center" textRotation="90" wrapText="1"/>
      <protection locked="0"/>
    </xf>
    <xf numFmtId="0" fontId="1" fillId="26" borderId="24" xfId="0" applyFont="1" applyFill="1" applyBorder="1" applyAlignment="1" applyProtection="1">
      <alignment horizontal="left" vertical="top" wrapText="1"/>
    </xf>
    <xf numFmtId="0" fontId="1" fillId="26" borderId="38" xfId="0" applyFont="1" applyFill="1" applyBorder="1" applyAlignment="1" applyProtection="1">
      <alignment horizontal="left" vertical="top" wrapText="1"/>
    </xf>
    <xf numFmtId="10" fontId="1" fillId="26" borderId="24" xfId="76" applyNumberFormat="1" applyFont="1" applyFill="1" applyBorder="1" applyAlignment="1" applyProtection="1">
      <alignment horizontal="left" vertical="top" wrapText="1"/>
    </xf>
    <xf numFmtId="10" fontId="1" fillId="26" borderId="38" xfId="76" applyNumberFormat="1" applyFont="1" applyFill="1" applyBorder="1" applyAlignment="1" applyProtection="1">
      <alignment horizontal="left" vertical="top" wrapText="1"/>
    </xf>
    <xf numFmtId="10" fontId="39" fillId="26" borderId="24" xfId="76" applyNumberFormat="1" applyFont="1" applyFill="1" applyBorder="1" applyAlignment="1" applyProtection="1">
      <alignment horizontal="left" vertical="top" wrapText="1"/>
    </xf>
    <xf numFmtId="10" fontId="39" fillId="26" borderId="38" xfId="76" applyNumberFormat="1" applyFont="1" applyFill="1" applyBorder="1" applyAlignment="1" applyProtection="1">
      <alignment horizontal="left" vertical="top" wrapText="1"/>
    </xf>
    <xf numFmtId="0" fontId="22" fillId="0" borderId="16" xfId="72" applyFont="1" applyBorder="1" applyAlignment="1" applyProtection="1">
      <alignment horizontal="left" vertical="top"/>
    </xf>
    <xf numFmtId="0" fontId="22" fillId="0" borderId="0" xfId="72" applyFont="1" applyBorder="1" applyAlignment="1" applyProtection="1">
      <alignment horizontal="left" vertical="top"/>
    </xf>
    <xf numFmtId="0" fontId="22" fillId="0" borderId="17" xfId="72" applyFont="1" applyBorder="1" applyAlignment="1" applyProtection="1">
      <alignment horizontal="left" vertical="top"/>
    </xf>
    <xf numFmtId="0" fontId="40" fillId="0" borderId="16" xfId="72" applyFont="1" applyBorder="1" applyAlignment="1" applyProtection="1">
      <alignment horizontal="left" vertical="top"/>
    </xf>
    <xf numFmtId="0" fontId="40" fillId="0" borderId="17" xfId="72" applyFont="1" applyBorder="1" applyAlignment="1" applyProtection="1">
      <alignment horizontal="left" vertical="top"/>
    </xf>
    <xf numFmtId="0" fontId="1" fillId="26" borderId="18" xfId="0" applyFont="1" applyFill="1" applyBorder="1" applyAlignment="1" applyProtection="1">
      <alignment horizontal="left" vertical="top" wrapText="1"/>
    </xf>
    <xf numFmtId="10" fontId="1" fillId="26" borderId="18" xfId="76" applyNumberFormat="1" applyFont="1" applyFill="1" applyBorder="1" applyAlignment="1" applyProtection="1">
      <alignment horizontal="left" vertical="top" wrapText="1"/>
    </xf>
    <xf numFmtId="10" fontId="39" fillId="26" borderId="18" xfId="76" applyNumberFormat="1" applyFont="1" applyFill="1" applyBorder="1" applyAlignment="1" applyProtection="1">
      <alignment horizontal="left" vertical="top" wrapText="1"/>
    </xf>
    <xf numFmtId="14" fontId="0" fillId="26" borderId="24" xfId="0" applyNumberFormat="1" applyFill="1" applyBorder="1" applyAlignment="1" applyProtection="1">
      <alignment horizontal="center" vertical="top" wrapText="1"/>
    </xf>
    <xf numFmtId="14" fontId="0" fillId="26" borderId="38" xfId="0" applyNumberFormat="1" applyFill="1" applyBorder="1" applyAlignment="1" applyProtection="1">
      <alignment horizontal="center" vertical="top" wrapText="1"/>
    </xf>
    <xf numFmtId="14" fontId="0" fillId="26" borderId="24" xfId="0" applyNumberFormat="1" applyFill="1" applyBorder="1" applyAlignment="1" applyProtection="1">
      <alignment horizontal="center" vertical="top" wrapText="1"/>
      <protection locked="0"/>
    </xf>
    <xf numFmtId="14" fontId="0" fillId="26" borderId="38" xfId="0" applyNumberFormat="1" applyFill="1" applyBorder="1" applyAlignment="1" applyProtection="1">
      <alignment horizontal="center" vertical="top" wrapText="1"/>
      <protection locked="0"/>
    </xf>
    <xf numFmtId="0" fontId="1" fillId="26" borderId="24" xfId="0" applyFont="1" applyFill="1" applyBorder="1" applyAlignment="1" applyProtection="1">
      <alignment horizontal="left" vertical="top" wrapText="1"/>
      <protection locked="0"/>
    </xf>
    <xf numFmtId="0" fontId="1" fillId="26" borderId="18" xfId="0" applyFont="1" applyFill="1" applyBorder="1" applyAlignment="1" applyProtection="1">
      <alignment horizontal="left" vertical="top" wrapText="1"/>
      <protection locked="0"/>
    </xf>
    <xf numFmtId="0" fontId="1" fillId="26" borderId="38" xfId="0" applyFont="1" applyFill="1" applyBorder="1" applyAlignment="1" applyProtection="1">
      <alignment horizontal="left" vertical="top" wrapText="1"/>
      <protection locked="0"/>
    </xf>
    <xf numFmtId="49" fontId="1" fillId="26" borderId="24" xfId="76" applyNumberFormat="1" applyFont="1" applyFill="1" applyBorder="1" applyAlignment="1" applyProtection="1">
      <alignment horizontal="left" vertical="top" wrapText="1"/>
      <protection locked="0" hidden="1"/>
    </xf>
    <xf numFmtId="49" fontId="1" fillId="26" borderId="18" xfId="76" applyNumberFormat="1" applyFont="1" applyFill="1" applyBorder="1" applyAlignment="1" applyProtection="1">
      <alignment horizontal="left" vertical="top" wrapText="1"/>
      <protection locked="0" hidden="1"/>
    </xf>
    <xf numFmtId="0" fontId="0" fillId="26" borderId="24" xfId="0" applyFill="1" applyBorder="1" applyAlignment="1" applyProtection="1">
      <alignment horizontal="left" vertical="top" wrapText="1"/>
    </xf>
    <xf numFmtId="0" fontId="0" fillId="26" borderId="18" xfId="0" applyFill="1" applyBorder="1" applyAlignment="1" applyProtection="1">
      <alignment horizontal="left" vertical="top" wrapText="1"/>
    </xf>
    <xf numFmtId="0" fontId="0" fillId="26" borderId="38" xfId="0" applyFill="1" applyBorder="1" applyAlignment="1" applyProtection="1">
      <alignment horizontal="left" vertical="top" wrapText="1"/>
    </xf>
    <xf numFmtId="0" fontId="0" fillId="26" borderId="0" xfId="0" applyFill="1" applyBorder="1" applyAlignment="1" applyProtection="1">
      <alignment horizontal="left"/>
      <protection locked="0"/>
    </xf>
    <xf numFmtId="49" fontId="39" fillId="26" borderId="18" xfId="76" applyNumberFormat="1" applyFont="1" applyFill="1" applyBorder="1" applyAlignment="1" applyProtection="1">
      <alignment horizontal="left" vertical="top" wrapText="1"/>
      <protection locked="0" hidden="1"/>
    </xf>
    <xf numFmtId="49" fontId="39" fillId="26" borderId="38" xfId="76" applyNumberFormat="1" applyFont="1" applyFill="1" applyBorder="1" applyAlignment="1" applyProtection="1">
      <alignment horizontal="left" vertical="top" wrapText="1"/>
      <protection locked="0" hidden="1"/>
    </xf>
    <xf numFmtId="0" fontId="1" fillId="0" borderId="0" xfId="0" applyFont="1" applyFill="1" applyBorder="1" applyAlignment="1" applyProtection="1">
      <alignment horizontal="left" wrapText="1" indent="2"/>
    </xf>
    <xf numFmtId="0" fontId="0" fillId="0" borderId="0" xfId="0" applyAlignment="1" applyProtection="1">
      <alignment horizontal="left" indent="2"/>
    </xf>
    <xf numFmtId="10" fontId="1" fillId="26" borderId="24" xfId="76" applyNumberFormat="1" applyFont="1" applyFill="1" applyBorder="1" applyAlignment="1" applyProtection="1">
      <alignment horizontal="left" vertical="top" wrapText="1"/>
      <protection locked="0" hidden="1"/>
    </xf>
    <xf numFmtId="10" fontId="39" fillId="26" borderId="18" xfId="76" applyNumberFormat="1" applyFont="1" applyFill="1" applyBorder="1" applyAlignment="1" applyProtection="1">
      <alignment horizontal="left" vertical="top" wrapText="1"/>
      <protection locked="0" hidden="1"/>
    </xf>
    <xf numFmtId="10" fontId="39" fillId="26" borderId="38" xfId="76" applyNumberFormat="1" applyFont="1" applyFill="1" applyBorder="1" applyAlignment="1" applyProtection="1">
      <alignment horizontal="left" vertical="top" wrapText="1"/>
      <protection locked="0" hidden="1"/>
    </xf>
    <xf numFmtId="49" fontId="0" fillId="26" borderId="24" xfId="0" applyNumberFormat="1" applyFill="1" applyBorder="1" applyAlignment="1" applyProtection="1">
      <alignment horizontal="left" vertical="top" wrapText="1"/>
    </xf>
    <xf numFmtId="49" fontId="0" fillId="26" borderId="18" xfId="0" applyNumberFormat="1" applyFill="1" applyBorder="1" applyAlignment="1" applyProtection="1">
      <alignment horizontal="left" vertical="top" wrapText="1"/>
    </xf>
    <xf numFmtId="49" fontId="0" fillId="26" borderId="38" xfId="0" applyNumberFormat="1" applyFill="1" applyBorder="1" applyAlignment="1" applyProtection="1">
      <alignment horizontal="left" vertical="top" wrapText="1"/>
    </xf>
    <xf numFmtId="0" fontId="29" fillId="0" borderId="16" xfId="72" applyFont="1" applyBorder="1" applyAlignment="1" applyProtection="1">
      <alignment horizontal="left" vertical="top"/>
    </xf>
    <xf numFmtId="0" fontId="29" fillId="0" borderId="17" xfId="72" applyFont="1" applyBorder="1" applyAlignment="1" applyProtection="1">
      <alignment horizontal="left" vertical="top"/>
    </xf>
    <xf numFmtId="0" fontId="0" fillId="26" borderId="24" xfId="0" applyFill="1" applyBorder="1" applyAlignment="1" applyProtection="1">
      <alignment horizontal="left" vertical="top" shrinkToFit="1"/>
    </xf>
    <xf numFmtId="0" fontId="0" fillId="26" borderId="18" xfId="0" applyFill="1" applyBorder="1" applyAlignment="1" applyProtection="1">
      <alignment horizontal="left" vertical="top" shrinkToFit="1"/>
    </xf>
    <xf numFmtId="0" fontId="0" fillId="26" borderId="38" xfId="0" applyFill="1" applyBorder="1" applyAlignment="1" applyProtection="1">
      <alignment horizontal="left" vertical="top" shrinkToFit="1"/>
    </xf>
    <xf numFmtId="14" fontId="39" fillId="26" borderId="24" xfId="76" applyNumberFormat="1" applyFont="1" applyFill="1" applyBorder="1" applyAlignment="1" applyProtection="1">
      <alignment horizontal="left" vertical="top" wrapText="1"/>
      <protection locked="0" hidden="1"/>
    </xf>
    <xf numFmtId="14" fontId="39" fillId="26" borderId="38" xfId="76" applyNumberFormat="1" applyFont="1" applyFill="1" applyBorder="1" applyAlignment="1" applyProtection="1">
      <alignment horizontal="left" vertical="top" wrapText="1"/>
      <protection locked="0" hidden="1"/>
    </xf>
    <xf numFmtId="14" fontId="1" fillId="26" borderId="24" xfId="76" applyNumberFormat="1" applyFont="1" applyFill="1" applyBorder="1" applyAlignment="1" applyProtection="1">
      <alignment horizontal="left" vertical="top" wrapText="1"/>
      <protection locked="0" hidden="1"/>
    </xf>
    <xf numFmtId="14" fontId="1" fillId="26" borderId="38" xfId="76" applyNumberFormat="1" applyFont="1" applyFill="1" applyBorder="1" applyAlignment="1" applyProtection="1">
      <alignment horizontal="left" vertical="top" wrapText="1"/>
      <protection locked="0" hidden="1"/>
    </xf>
    <xf numFmtId="0" fontId="22" fillId="0" borderId="0" xfId="0" applyFont="1" applyFill="1" applyBorder="1" applyAlignment="1" applyProtection="1">
      <alignment horizontal="left" wrapText="1" indent="1"/>
    </xf>
    <xf numFmtId="0" fontId="22" fillId="0" borderId="0" xfId="0" applyFont="1" applyAlignment="1" applyProtection="1">
      <alignment horizontal="left" indent="1"/>
    </xf>
    <xf numFmtId="14" fontId="0" fillId="26" borderId="24" xfId="0" applyNumberFormat="1" applyFill="1" applyBorder="1" applyAlignment="1" applyProtection="1">
      <alignment horizontal="left" vertical="top" wrapText="1"/>
      <protection locked="0"/>
    </xf>
    <xf numFmtId="14" fontId="0" fillId="26" borderId="18" xfId="0" applyNumberFormat="1" applyFill="1" applyBorder="1" applyAlignment="1" applyProtection="1">
      <alignment horizontal="left" vertical="top" wrapText="1"/>
      <protection locked="0"/>
    </xf>
    <xf numFmtId="14" fontId="0" fillId="26" borderId="38" xfId="0" applyNumberFormat="1" applyFill="1" applyBorder="1" applyAlignment="1" applyProtection="1">
      <alignment horizontal="left" vertical="top" wrapText="1"/>
      <protection locked="0"/>
    </xf>
    <xf numFmtId="0" fontId="0" fillId="26" borderId="24" xfId="0" applyFill="1" applyBorder="1" applyAlignment="1" applyProtection="1">
      <alignment horizontal="left" vertical="top" wrapText="1"/>
      <protection locked="0"/>
    </xf>
    <xf numFmtId="0" fontId="0" fillId="26" borderId="38" xfId="0" applyFill="1" applyBorder="1" applyAlignment="1" applyProtection="1">
      <alignment horizontal="left" vertical="top" wrapText="1"/>
      <protection locked="0"/>
    </xf>
    <xf numFmtId="0" fontId="1" fillId="0" borderId="0" xfId="0" applyFont="1" applyFill="1" applyBorder="1" applyAlignment="1" applyProtection="1">
      <alignment horizontal="left" wrapText="1" indent="3"/>
    </xf>
    <xf numFmtId="0" fontId="0" fillId="0" borderId="0" xfId="0" applyAlignment="1" applyProtection="1">
      <alignment horizontal="left" indent="3"/>
    </xf>
    <xf numFmtId="49" fontId="1" fillId="26" borderId="24" xfId="0" applyNumberFormat="1" applyFont="1" applyFill="1" applyBorder="1" applyAlignment="1" applyProtection="1">
      <alignment horizontal="left" vertical="top" wrapText="1"/>
      <protection locked="0"/>
    </xf>
    <xf numFmtId="49" fontId="0" fillId="26" borderId="18" xfId="0" applyNumberFormat="1" applyFill="1" applyBorder="1" applyAlignment="1" applyProtection="1">
      <alignment horizontal="left" vertical="top" wrapText="1"/>
      <protection locked="0"/>
    </xf>
    <xf numFmtId="49" fontId="0" fillId="26" borderId="38" xfId="0" applyNumberFormat="1" applyFill="1" applyBorder="1" applyAlignment="1" applyProtection="1">
      <alignment horizontal="left" vertical="top" wrapText="1"/>
      <protection locked="0"/>
    </xf>
    <xf numFmtId="0" fontId="0" fillId="26" borderId="18" xfId="0" applyFill="1" applyBorder="1" applyAlignment="1" applyProtection="1">
      <alignment horizontal="left" vertical="top" wrapText="1"/>
      <protection locked="0"/>
    </xf>
    <xf numFmtId="0" fontId="1" fillId="26" borderId="0" xfId="0" applyFont="1" applyFill="1" applyBorder="1" applyAlignment="1" applyProtection="1">
      <alignment horizontal="left"/>
      <protection locked="0"/>
    </xf>
    <xf numFmtId="0" fontId="1" fillId="0" borderId="0" xfId="0" applyFont="1" applyFill="1" applyBorder="1" applyAlignment="1" applyProtection="1">
      <alignment horizontal="left" wrapText="1" indent="4"/>
    </xf>
    <xf numFmtId="0" fontId="0" fillId="0" borderId="0" xfId="0" applyAlignment="1" applyProtection="1">
      <alignment horizontal="left" indent="4"/>
    </xf>
    <xf numFmtId="0" fontId="1" fillId="0" borderId="39" xfId="0" applyFont="1" applyFill="1" applyBorder="1" applyAlignment="1" applyProtection="1">
      <alignment horizontal="left" wrapText="1"/>
    </xf>
    <xf numFmtId="0" fontId="1" fillId="0" borderId="0" xfId="0" applyFont="1" applyFill="1" applyBorder="1" applyAlignment="1" applyProtection="1">
      <alignment horizontal="left" wrapText="1"/>
    </xf>
    <xf numFmtId="0" fontId="22" fillId="0" borderId="39" xfId="0" applyFont="1" applyFill="1" applyBorder="1" applyAlignment="1" applyProtection="1">
      <alignment horizontal="left" wrapText="1"/>
    </xf>
    <xf numFmtId="0" fontId="22" fillId="0" borderId="0" xfId="0" applyFont="1" applyFill="1" applyBorder="1" applyAlignment="1" applyProtection="1">
      <alignment horizontal="left" wrapText="1"/>
    </xf>
    <xf numFmtId="0" fontId="0" fillId="26" borderId="24" xfId="0" applyFill="1" applyBorder="1" applyAlignment="1" applyProtection="1">
      <alignment horizontal="left" vertical="top" shrinkToFit="1"/>
      <protection locked="0"/>
    </xf>
    <xf numFmtId="0" fontId="0" fillId="26" borderId="18" xfId="0" applyFill="1" applyBorder="1" applyAlignment="1" applyProtection="1">
      <alignment horizontal="left" vertical="top" shrinkToFit="1"/>
      <protection locked="0"/>
    </xf>
    <xf numFmtId="0" fontId="0" fillId="26" borderId="38" xfId="0" applyFill="1" applyBorder="1" applyAlignment="1" applyProtection="1">
      <alignment horizontal="left" vertical="top" shrinkToFit="1"/>
      <protection locked="0"/>
    </xf>
    <xf numFmtId="0" fontId="0" fillId="26" borderId="24" xfId="0" applyFill="1" applyBorder="1" applyAlignment="1" applyProtection="1">
      <alignment horizontal="center" vertical="top" wrapText="1"/>
      <protection locked="0"/>
    </xf>
    <xf numFmtId="0" fontId="0" fillId="26" borderId="18" xfId="0" applyFill="1" applyBorder="1" applyAlignment="1" applyProtection="1">
      <alignment horizontal="center" vertical="top" wrapText="1"/>
      <protection locked="0"/>
    </xf>
    <xf numFmtId="0" fontId="0" fillId="26" borderId="38" xfId="0" applyFill="1" applyBorder="1" applyAlignment="1" applyProtection="1">
      <alignment horizontal="center" vertical="top" wrapText="1"/>
      <protection locked="0"/>
    </xf>
    <xf numFmtId="0" fontId="21" fillId="29" borderId="1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left" wrapText="1" indent="1"/>
    </xf>
    <xf numFmtId="0" fontId="0" fillId="26" borderId="0" xfId="0" applyFill="1" applyBorder="1" applyAlignment="1" applyProtection="1">
      <protection locked="0"/>
    </xf>
    <xf numFmtId="0" fontId="0" fillId="0" borderId="0" xfId="0" applyAlignment="1" applyProtection="1">
      <alignment horizontal="left" wrapText="1" indent="3"/>
    </xf>
    <xf numFmtId="0" fontId="1" fillId="0" borderId="0" xfId="71" applyNumberFormat="1" applyFont="1" applyFill="1" applyBorder="1" applyAlignment="1" applyProtection="1">
      <alignment horizontal="left"/>
    </xf>
    <xf numFmtId="49" fontId="1" fillId="26" borderId="21" xfId="71" applyNumberFormat="1" applyFont="1" applyFill="1" applyBorder="1" applyAlignment="1" applyProtection="1">
      <alignment horizontal="left" vertical="top" wrapText="1"/>
    </xf>
    <xf numFmtId="49" fontId="1" fillId="26" borderId="13" xfId="71" applyNumberFormat="1" applyFont="1" applyFill="1" applyBorder="1" applyAlignment="1" applyProtection="1">
      <alignment horizontal="left" vertical="top" wrapText="1"/>
    </xf>
    <xf numFmtId="49" fontId="1" fillId="26" borderId="22" xfId="71" applyNumberFormat="1" applyFont="1" applyFill="1" applyBorder="1" applyAlignment="1" applyProtection="1">
      <alignment horizontal="left" vertical="top" wrapText="1"/>
    </xf>
    <xf numFmtId="0" fontId="1" fillId="0" borderId="29" xfId="71" applyFont="1" applyBorder="1" applyAlignment="1" applyProtection="1">
      <alignment horizontal="center" vertical="center"/>
    </xf>
    <xf numFmtId="49" fontId="1" fillId="0" borderId="0" xfId="71" applyNumberFormat="1" applyFont="1" applyFill="1" applyBorder="1" applyAlignment="1" applyProtection="1">
      <alignment horizontal="left"/>
      <protection locked="0"/>
    </xf>
    <xf numFmtId="170" fontId="1" fillId="0" borderId="0" xfId="71" applyNumberFormat="1" applyFont="1" applyAlignment="1" applyProtection="1">
      <alignment horizontal="right"/>
      <protection locked="0"/>
    </xf>
    <xf numFmtId="2" fontId="35" fillId="0" borderId="29" xfId="71" applyNumberFormat="1" applyFont="1" applyFill="1" applyBorder="1" applyAlignment="1" applyProtection="1">
      <alignment horizontal="center" vertical="center"/>
    </xf>
    <xf numFmtId="0" fontId="26" fillId="0" borderId="0" xfId="71" applyFont="1" applyBorder="1" applyAlignment="1" applyProtection="1">
      <alignment horizontal="left" vertical="center"/>
    </xf>
    <xf numFmtId="0" fontId="1" fillId="0" borderId="0" xfId="71" applyFont="1" applyBorder="1" applyAlignment="1" applyProtection="1">
      <alignment horizontal="center" vertical="top"/>
    </xf>
    <xf numFmtId="0" fontId="37" fillId="0" borderId="10" xfId="71" applyFont="1" applyBorder="1" applyAlignment="1" applyProtection="1">
      <alignment horizontal="center" vertical="center" wrapText="1"/>
    </xf>
    <xf numFmtId="0" fontId="1" fillId="0" borderId="0" xfId="71" applyFont="1" applyBorder="1" applyAlignment="1" applyProtection="1">
      <alignment horizontal="left" vertical="center"/>
    </xf>
    <xf numFmtId="0" fontId="1" fillId="0" borderId="0" xfId="71" applyFont="1" applyFill="1" applyBorder="1" applyAlignment="1" applyProtection="1">
      <alignment horizontal="left"/>
    </xf>
    <xf numFmtId="0" fontId="43" fillId="0" borderId="0" xfId="0" quotePrefix="1" applyFont="1" applyBorder="1" applyAlignment="1" applyProtection="1">
      <alignment horizontal="left" vertical="center"/>
    </xf>
    <xf numFmtId="0" fontId="43" fillId="0" borderId="0" xfId="0" applyFont="1" applyBorder="1" applyAlignment="1" applyProtection="1">
      <alignment horizontal="left" vertical="center"/>
    </xf>
    <xf numFmtId="0" fontId="44" fillId="0" borderId="0" xfId="0" applyFont="1" applyBorder="1" applyAlignment="1" applyProtection="1">
      <alignment horizontal="center"/>
    </xf>
    <xf numFmtId="0" fontId="43" fillId="0" borderId="0" xfId="0" applyFont="1" applyBorder="1" applyAlignment="1" applyProtection="1">
      <alignment horizontal="center" vertical="top"/>
    </xf>
    <xf numFmtId="0" fontId="43" fillId="0" borderId="0" xfId="0" applyFont="1" applyBorder="1" applyAlignment="1" applyProtection="1">
      <alignment horizontal="right" vertical="center"/>
    </xf>
    <xf numFmtId="0" fontId="1" fillId="0" borderId="10" xfId="71" applyFont="1" applyBorder="1" applyAlignment="1" applyProtection="1">
      <alignment horizontal="left" vertical="center" wrapText="1"/>
    </xf>
    <xf numFmtId="0" fontId="41" fillId="0" borderId="0" xfId="71" applyFont="1" applyBorder="1" applyAlignment="1" applyProtection="1">
      <alignment horizontal="left" vertical="center" wrapText="1"/>
    </xf>
    <xf numFmtId="0" fontId="1" fillId="0" borderId="10" xfId="71" applyFont="1" applyBorder="1" applyAlignment="1" applyProtection="1">
      <alignment horizontal="left" vertical="center"/>
    </xf>
    <xf numFmtId="4" fontId="26" fillId="0" borderId="10" xfId="71" applyNumberFormat="1" applyFont="1" applyFill="1" applyBorder="1" applyAlignment="1" applyProtection="1">
      <alignment horizontal="center" vertical="center" wrapText="1"/>
    </xf>
    <xf numFmtId="0" fontId="2" fillId="0" borderId="10" xfId="71" applyFont="1" applyFill="1" applyBorder="1" applyAlignment="1" applyProtection="1">
      <alignment horizontal="left" wrapText="1"/>
    </xf>
    <xf numFmtId="10" fontId="2" fillId="26" borderId="10" xfId="71" applyNumberFormat="1" applyFont="1" applyFill="1" applyBorder="1" applyAlignment="1" applyProtection="1">
      <alignment horizontal="center"/>
      <protection locked="0"/>
    </xf>
    <xf numFmtId="0" fontId="2" fillId="0" borderId="10" xfId="71" applyFont="1" applyFill="1" applyBorder="1" applyAlignment="1" applyProtection="1">
      <alignment horizontal="left"/>
    </xf>
    <xf numFmtId="0" fontId="26" fillId="0" borderId="10" xfId="71" applyFont="1" applyBorder="1" applyAlignment="1" applyProtection="1">
      <alignment horizontal="center"/>
    </xf>
    <xf numFmtId="0" fontId="26" fillId="0" borderId="10" xfId="71" applyFont="1" applyBorder="1" applyAlignment="1" applyProtection="1">
      <alignment horizontal="center" vertical="center"/>
    </xf>
    <xf numFmtId="164" fontId="2" fillId="26" borderId="24" xfId="68" applyFont="1" applyFill="1" applyBorder="1" applyAlignment="1" applyProtection="1">
      <alignment horizontal="left"/>
      <protection locked="0"/>
    </xf>
    <xf numFmtId="164" fontId="2" fillId="26" borderId="18" xfId="68" applyFont="1" applyFill="1" applyBorder="1" applyAlignment="1" applyProtection="1">
      <alignment horizontal="left"/>
      <protection locked="0"/>
    </xf>
    <xf numFmtId="164" fontId="2" fillId="26" borderId="38" xfId="68" applyFont="1" applyFill="1" applyBorder="1" applyAlignment="1" applyProtection="1">
      <alignment horizontal="left"/>
      <protection locked="0"/>
    </xf>
    <xf numFmtId="0" fontId="1" fillId="26" borderId="24" xfId="71" applyFont="1" applyFill="1" applyBorder="1" applyAlignment="1" applyProtection="1">
      <alignment horizontal="center" vertical="top" wrapText="1"/>
      <protection locked="0"/>
    </xf>
    <xf numFmtId="0" fontId="1" fillId="26" borderId="38" xfId="71" applyFont="1" applyFill="1" applyBorder="1" applyAlignment="1" applyProtection="1">
      <alignment horizontal="center" vertical="top" wrapText="1"/>
      <protection locked="0"/>
    </xf>
    <xf numFmtId="0" fontId="1" fillId="0" borderId="24" xfId="71" applyFont="1" applyFill="1" applyBorder="1" applyAlignment="1" applyProtection="1">
      <alignment horizontal="left" vertical="top" wrapText="1"/>
    </xf>
    <xf numFmtId="0" fontId="1" fillId="0" borderId="38" xfId="71" applyFont="1" applyFill="1" applyBorder="1" applyAlignment="1" applyProtection="1">
      <alignment horizontal="left" vertical="top" wrapText="1"/>
    </xf>
    <xf numFmtId="49" fontId="1" fillId="0" borderId="24" xfId="71" applyNumberFormat="1" applyFont="1" applyFill="1" applyBorder="1" applyAlignment="1" applyProtection="1">
      <alignment horizontal="left" vertical="top" wrapText="1"/>
    </xf>
    <xf numFmtId="0" fontId="1" fillId="0" borderId="18" xfId="71" applyNumberFormat="1" applyFont="1" applyFill="1" applyBorder="1" applyAlignment="1" applyProtection="1">
      <alignment horizontal="left" vertical="top" wrapText="1"/>
    </xf>
    <xf numFmtId="0" fontId="1" fillId="0" borderId="38" xfId="71" applyNumberFormat="1" applyFont="1" applyFill="1" applyBorder="1" applyAlignment="1" applyProtection="1">
      <alignment horizontal="left" vertical="top" wrapText="1"/>
    </xf>
    <xf numFmtId="0" fontId="2" fillId="0" borderId="12" xfId="68" applyNumberFormat="1" applyFont="1" applyFill="1" applyBorder="1" applyAlignment="1" applyProtection="1">
      <alignment horizontal="left" wrapText="1"/>
    </xf>
    <xf numFmtId="0" fontId="1" fillId="0" borderId="16" xfId="71" applyFont="1" applyBorder="1" applyAlignment="1" applyProtection="1">
      <alignment horizontal="center"/>
    </xf>
    <xf numFmtId="0" fontId="1" fillId="0" borderId="17" xfId="71" applyFont="1" applyBorder="1" applyAlignment="1" applyProtection="1">
      <alignment horizontal="center"/>
    </xf>
    <xf numFmtId="0" fontId="22" fillId="0" borderId="24" xfId="71" applyFont="1" applyBorder="1" applyAlignment="1" applyProtection="1">
      <alignment horizontal="center"/>
    </xf>
    <xf numFmtId="0" fontId="22" fillId="0" borderId="38" xfId="71" applyFont="1" applyBorder="1" applyAlignment="1" applyProtection="1">
      <alignment horizontal="center"/>
    </xf>
    <xf numFmtId="0" fontId="32" fillId="26" borderId="16" xfId="0" applyFont="1" applyFill="1" applyBorder="1" applyAlignment="1" applyProtection="1">
      <alignment horizontal="left" wrapText="1"/>
      <protection locked="0"/>
    </xf>
    <xf numFmtId="0" fontId="32" fillId="26" borderId="0" xfId="0" applyFont="1" applyFill="1" applyBorder="1" applyAlignment="1" applyProtection="1">
      <alignment horizontal="left" wrapText="1"/>
      <protection locked="0"/>
    </xf>
    <xf numFmtId="0" fontId="32" fillId="26" borderId="17" xfId="0" applyFont="1" applyFill="1" applyBorder="1" applyAlignment="1" applyProtection="1">
      <alignment horizontal="left" wrapText="1"/>
      <protection locked="0"/>
    </xf>
    <xf numFmtId="0" fontId="32" fillId="26" borderId="24" xfId="0" applyFont="1" applyFill="1" applyBorder="1" applyAlignment="1" applyProtection="1">
      <alignment horizontal="left" wrapText="1"/>
      <protection locked="0"/>
    </xf>
    <xf numFmtId="0" fontId="32" fillId="26" borderId="18" xfId="0" applyFont="1" applyFill="1" applyBorder="1" applyAlignment="1" applyProtection="1">
      <alignment horizontal="left" wrapText="1"/>
      <protection locked="0"/>
    </xf>
    <xf numFmtId="0" fontId="32" fillId="26" borderId="38" xfId="0" applyFont="1" applyFill="1" applyBorder="1" applyAlignment="1" applyProtection="1">
      <alignment horizontal="left" wrapText="1"/>
      <protection locked="0"/>
    </xf>
    <xf numFmtId="0" fontId="32" fillId="0" borderId="2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31" xfId="0" applyFont="1" applyFill="1" applyBorder="1" applyAlignment="1" applyProtection="1">
      <alignment horizontal="left" vertical="center" wrapText="1"/>
      <protection hidden="1"/>
    </xf>
    <xf numFmtId="0" fontId="32" fillId="0" borderId="26" xfId="0" applyFont="1" applyFill="1" applyBorder="1" applyAlignment="1" applyProtection="1">
      <alignment horizontal="left" vertical="center" wrapText="1"/>
      <protection hidden="1"/>
    </xf>
    <xf numFmtId="0" fontId="32" fillId="0" borderId="28" xfId="0" applyFont="1" applyFill="1" applyBorder="1" applyAlignment="1" applyProtection="1">
      <alignment horizontal="center" vertical="center"/>
      <protection hidden="1"/>
    </xf>
    <xf numFmtId="0" fontId="32" fillId="0" borderId="25" xfId="0" applyFont="1" applyFill="1" applyBorder="1" applyAlignment="1" applyProtection="1">
      <alignment horizontal="center" vertical="center"/>
      <protection hidden="1"/>
    </xf>
    <xf numFmtId="0" fontId="1" fillId="26" borderId="24" xfId="0" applyFont="1" applyFill="1" applyBorder="1" applyAlignment="1" applyProtection="1">
      <alignment horizontal="left" vertical="top"/>
      <protection locked="0" hidden="1"/>
    </xf>
    <xf numFmtId="0" fontId="1" fillId="26" borderId="18" xfId="0" applyFont="1" applyFill="1" applyBorder="1" applyAlignment="1" applyProtection="1">
      <alignment horizontal="left" vertical="top"/>
      <protection locked="0" hidden="1"/>
    </xf>
    <xf numFmtId="0" fontId="1" fillId="26" borderId="38" xfId="0" applyFont="1" applyFill="1" applyBorder="1" applyAlignment="1" applyProtection="1">
      <alignment horizontal="left" vertical="top"/>
      <protection locked="0" hidden="1"/>
    </xf>
    <xf numFmtId="0" fontId="32" fillId="0" borderId="16" xfId="0" applyFont="1" applyFill="1" applyBorder="1" applyAlignment="1" applyProtection="1">
      <alignment horizontal="center" vertical="center"/>
      <protection hidden="1"/>
    </xf>
    <xf numFmtId="4" fontId="32" fillId="0" borderId="17" xfId="0" applyNumberFormat="1" applyFont="1" applyFill="1" applyBorder="1" applyAlignment="1" applyProtection="1">
      <alignment horizontal="center" vertical="center"/>
      <protection hidden="1"/>
    </xf>
    <xf numFmtId="4" fontId="32" fillId="0" borderId="27" xfId="0" applyNumberFormat="1" applyFont="1" applyFill="1" applyBorder="1" applyAlignment="1" applyProtection="1">
      <alignment horizontal="center" vertical="center"/>
      <protection hidden="1"/>
    </xf>
    <xf numFmtId="168" fontId="1" fillId="0" borderId="0" xfId="0" applyNumberFormat="1" applyFont="1" applyFill="1" applyBorder="1" applyAlignment="1" applyProtection="1">
      <alignment horizontal="left"/>
      <protection hidden="1"/>
    </xf>
    <xf numFmtId="0" fontId="1" fillId="0" borderId="0" xfId="0" applyFont="1" applyFill="1" applyBorder="1" applyAlignment="1" applyProtection="1">
      <alignment horizontal="left"/>
      <protection hidden="1"/>
    </xf>
    <xf numFmtId="49" fontId="1" fillId="0" borderId="0" xfId="0" applyNumberFormat="1" applyFont="1" applyFill="1" applyBorder="1" applyAlignment="1" applyProtection="1">
      <alignment horizontal="left"/>
      <protection hidden="1"/>
    </xf>
    <xf numFmtId="0" fontId="32" fillId="0" borderId="0" xfId="0" applyFont="1" applyFill="1" applyBorder="1" applyAlignment="1" applyProtection="1">
      <alignment horizontal="left" vertical="center" wrapText="1"/>
      <protection hidden="1"/>
    </xf>
    <xf numFmtId="4" fontId="32" fillId="0" borderId="32" xfId="0" applyNumberFormat="1" applyFont="1" applyFill="1" applyBorder="1" applyAlignment="1" applyProtection="1">
      <alignment horizontal="center" vertical="center"/>
      <protection hidden="1"/>
    </xf>
    <xf numFmtId="4" fontId="32" fillId="0" borderId="30" xfId="0" applyNumberFormat="1" applyFont="1" applyFill="1" applyBorder="1" applyAlignment="1" applyProtection="1">
      <alignment horizontal="center" vertical="center"/>
      <protection hidden="1"/>
    </xf>
    <xf numFmtId="0" fontId="32" fillId="0" borderId="23" xfId="0" applyFont="1" applyFill="1" applyBorder="1" applyAlignment="1" applyProtection="1">
      <alignment horizontal="center" vertical="center"/>
      <protection hidden="1"/>
    </xf>
    <xf numFmtId="0" fontId="32" fillId="0" borderId="29" xfId="0" applyFont="1" applyFill="1" applyBorder="1" applyAlignment="1" applyProtection="1">
      <alignment horizontal="left" vertical="center" wrapText="1"/>
      <protection hidden="1"/>
    </xf>
    <xf numFmtId="4" fontId="22" fillId="0" borderId="0" xfId="0" applyNumberFormat="1" applyFont="1" applyFill="1" applyBorder="1" applyAlignment="1" applyProtection="1">
      <alignment horizontal="center" vertical="center"/>
      <protection hidden="1"/>
    </xf>
    <xf numFmtId="0" fontId="22" fillId="0" borderId="0" xfId="0" applyFont="1" applyFill="1" applyBorder="1" applyAlignment="1" applyProtection="1">
      <alignment horizontal="center" vertical="center"/>
      <protection hidden="1"/>
    </xf>
    <xf numFmtId="4" fontId="26" fillId="27" borderId="30" xfId="0" applyNumberFormat="1" applyFont="1" applyFill="1" applyBorder="1" applyAlignment="1" applyProtection="1">
      <alignment horizontal="center" vertical="center"/>
      <protection hidden="1"/>
    </xf>
    <xf numFmtId="4" fontId="26" fillId="27" borderId="17" xfId="0" applyNumberFormat="1" applyFont="1" applyFill="1" applyBorder="1" applyAlignment="1" applyProtection="1">
      <alignment horizontal="center" vertical="center"/>
      <protection hidden="1"/>
    </xf>
    <xf numFmtId="4" fontId="26" fillId="27" borderId="38" xfId="0" applyNumberFormat="1" applyFont="1" applyFill="1" applyBorder="1" applyAlignment="1" applyProtection="1">
      <alignment horizontal="center" vertical="center"/>
      <protection hidden="1"/>
    </xf>
    <xf numFmtId="0" fontId="26" fillId="27" borderId="23" xfId="0" applyFont="1" applyFill="1" applyBorder="1" applyAlignment="1" applyProtection="1">
      <alignment horizontal="center" vertical="center" wrapText="1"/>
      <protection hidden="1"/>
    </xf>
    <xf numFmtId="0" fontId="26" fillId="27" borderId="29" xfId="0" applyFont="1" applyFill="1" applyBorder="1" applyAlignment="1" applyProtection="1">
      <alignment horizontal="center" vertical="center" wrapText="1"/>
      <protection hidden="1"/>
    </xf>
    <xf numFmtId="0" fontId="26" fillId="27" borderId="16" xfId="0" applyFont="1" applyFill="1" applyBorder="1" applyAlignment="1" applyProtection="1">
      <alignment horizontal="center" vertical="center" wrapText="1"/>
      <protection hidden="1"/>
    </xf>
    <xf numFmtId="0" fontId="26" fillId="27" borderId="0" xfId="0" applyFont="1" applyFill="1" applyBorder="1" applyAlignment="1" applyProtection="1">
      <alignment horizontal="center" vertical="center" wrapText="1"/>
      <protection hidden="1"/>
    </xf>
    <xf numFmtId="0" fontId="26" fillId="27" borderId="24" xfId="0" applyFont="1" applyFill="1" applyBorder="1" applyAlignment="1" applyProtection="1">
      <alignment horizontal="center" vertical="center" wrapText="1"/>
      <protection hidden="1"/>
    </xf>
    <xf numFmtId="0" fontId="26" fillId="27" borderId="18" xfId="0" applyFont="1" applyFill="1" applyBorder="1" applyAlignment="1" applyProtection="1">
      <alignment horizontal="center" vertical="center" wrapText="1"/>
      <protection hidden="1"/>
    </xf>
  </cellXfs>
  <cellStyles count="89">
    <cellStyle name="20% - Accent1" xfId="1"/>
    <cellStyle name="20% - Accent2" xfId="2"/>
    <cellStyle name="20% - Accent3" xfId="3"/>
    <cellStyle name="20% - Accent4" xfId="4"/>
    <cellStyle name="20% - Accent5" xfId="5"/>
    <cellStyle name="20% - Accent6" xfId="6"/>
    <cellStyle name="20% - Ênfase1" xfId="7" builtinId="30" customBuiltin="1"/>
    <cellStyle name="20% - Ênfase2" xfId="8" builtinId="34" customBuiltin="1"/>
    <cellStyle name="20% - Ênfase3" xfId="9" builtinId="38" customBuiltin="1"/>
    <cellStyle name="20% - Ênfase4" xfId="10" builtinId="42" customBuiltin="1"/>
    <cellStyle name="20% - Ênfase5" xfId="11" builtinId="46" customBuiltin="1"/>
    <cellStyle name="20% - Ênfase6" xfId="12" builtinId="50" customBuiltin="1"/>
    <cellStyle name="40% - Accent1" xfId="13"/>
    <cellStyle name="40% - Accent2" xfId="14"/>
    <cellStyle name="40% - Accent3" xfId="15"/>
    <cellStyle name="40% - Accent4" xfId="16"/>
    <cellStyle name="40% - Accent5" xfId="17"/>
    <cellStyle name="40% - Accent6" xfId="18"/>
    <cellStyle name="40% - Ênfase1" xfId="19" builtinId="31" customBuiltin="1"/>
    <cellStyle name="40% - Ênfase2" xfId="20" builtinId="35" customBuiltin="1"/>
    <cellStyle name="40% - Ênfase3" xfId="21" builtinId="39" customBuiltin="1"/>
    <cellStyle name="40% - Ênfase4" xfId="22" builtinId="43" customBuiltin="1"/>
    <cellStyle name="40% - Ênfase5" xfId="23" builtinId="47" customBuiltin="1"/>
    <cellStyle name="40% - Ênfase6" xfId="24" builtinId="51" customBuiltin="1"/>
    <cellStyle name="60% - Accent1" xfId="25"/>
    <cellStyle name="60% - Accent2" xfId="26"/>
    <cellStyle name="60% - Accent3" xfId="27"/>
    <cellStyle name="60% - Accent4" xfId="28"/>
    <cellStyle name="60% - Accent5" xfId="29"/>
    <cellStyle name="60% - Accent6" xfId="30"/>
    <cellStyle name="60% - Ênfase1" xfId="31" builtinId="32" customBuiltin="1"/>
    <cellStyle name="60% - Ênfase2" xfId="32" builtinId="36" customBuiltin="1"/>
    <cellStyle name="60% - Ênfase3" xfId="33" builtinId="40" customBuiltin="1"/>
    <cellStyle name="60% - Ênfase4" xfId="34" builtinId="44" customBuiltin="1"/>
    <cellStyle name="60% - Ênfase5" xfId="35" builtinId="48" customBuiltin="1"/>
    <cellStyle name="60% - Ênfase6" xfId="36" builtinId="52" customBuiltin="1"/>
    <cellStyle name="Accent1" xfId="37"/>
    <cellStyle name="Accent2" xfId="38"/>
    <cellStyle name="Accent3" xfId="39"/>
    <cellStyle name="Accent4" xfId="40"/>
    <cellStyle name="Accent5" xfId="41"/>
    <cellStyle name="Accent6" xfId="42"/>
    <cellStyle name="Bad" xfId="43"/>
    <cellStyle name="Bom" xfId="44" builtinId="26" customBuiltin="1"/>
    <cellStyle name="Calculation" xfId="45"/>
    <cellStyle name="Cálculo" xfId="46" builtinId="22" customBuiltin="1"/>
    <cellStyle name="Célula de Verificação" xfId="47" builtinId="23" customBuiltin="1"/>
    <cellStyle name="Célula Vinculada" xfId="48" builtinId="24" customBuiltin="1"/>
    <cellStyle name="Check Cell" xfId="49"/>
    <cellStyle name="Ênfase1" xfId="50" builtinId="29" customBuiltin="1"/>
    <cellStyle name="Ênfase2" xfId="51" builtinId="33" customBuiltin="1"/>
    <cellStyle name="Ênfase3" xfId="52" builtinId="37" customBuiltin="1"/>
    <cellStyle name="Ênfase4" xfId="53" builtinId="41" customBuiltin="1"/>
    <cellStyle name="Ênfase5" xfId="54" builtinId="45" customBuiltin="1"/>
    <cellStyle name="Ênfase6" xfId="55" builtinId="49" customBuiltin="1"/>
    <cellStyle name="Entrada" xfId="56" builtinId="20" customBuiltin="1"/>
    <cellStyle name="Excel Built-in Normal" xfId="57"/>
    <cellStyle name="Explanatory Text" xfId="58"/>
    <cellStyle name="Good" xfId="59"/>
    <cellStyle name="Heading 1" xfId="60"/>
    <cellStyle name="Heading 2" xfId="61"/>
    <cellStyle name="Heading 3" xfId="62"/>
    <cellStyle name="Heading 4" xfId="63"/>
    <cellStyle name="Incorreto" xfId="64" builtinId="27" customBuiltin="1"/>
    <cellStyle name="Input" xfId="65"/>
    <cellStyle name="Linked Cell" xfId="66"/>
    <cellStyle name="Moeda 2" xfId="67"/>
    <cellStyle name="Moeda_Composicao BDI v2.1" xfId="68"/>
    <cellStyle name="Neutra" xfId="69" builtinId="28" customBuiltin="1"/>
    <cellStyle name="Neutral" xfId="70"/>
    <cellStyle name="Normal" xfId="0" builtinId="0"/>
    <cellStyle name="Normal 2" xfId="71"/>
    <cellStyle name="Normal_FICHA DE VERIFICAÇÃO PRELIMINAR - Plano R" xfId="72"/>
    <cellStyle name="Nota" xfId="73" builtinId="10" customBuiltin="1"/>
    <cellStyle name="Note" xfId="74"/>
    <cellStyle name="Output" xfId="75"/>
    <cellStyle name="Porcentagem" xfId="76" builtinId="5"/>
    <cellStyle name="Saída" xfId="77" builtinId="21" customBuiltin="1"/>
    <cellStyle name="Texto de Aviso" xfId="78" builtinId="11" customBuiltin="1"/>
    <cellStyle name="Texto Explicativo" xfId="79" builtinId="53" customBuiltin="1"/>
    <cellStyle name="Title" xfId="80"/>
    <cellStyle name="Título" xfId="81" builtinId="15" customBuiltin="1"/>
    <cellStyle name="Título 1" xfId="82" builtinId="16" customBuiltin="1"/>
    <cellStyle name="Título 2" xfId="83" builtinId="17" customBuiltin="1"/>
    <cellStyle name="Título 3" xfId="84" builtinId="18" customBuiltin="1"/>
    <cellStyle name="Título 4" xfId="85" builtinId="19" customBuiltin="1"/>
    <cellStyle name="Total" xfId="86" builtinId="25" customBuiltin="1"/>
    <cellStyle name="Vírgula" xfId="87" builtinId="3"/>
    <cellStyle name="Warning Text" xfId="88"/>
  </cellStyles>
  <dxfs count="112">
    <dxf>
      <fill>
        <patternFill>
          <bgColor theme="0" tint="-4.9989318521683403E-2"/>
        </patternFill>
      </fill>
      <border>
        <top style="thin">
          <color indexed="64"/>
        </top>
      </border>
    </dxf>
    <dxf>
      <font>
        <color theme="0"/>
      </font>
      <fill>
        <patternFill>
          <bgColor theme="0"/>
        </patternFill>
      </fill>
    </dxf>
    <dxf>
      <fill>
        <patternFill>
          <bgColor theme="0" tint="-0.14996795556505021"/>
        </patternFill>
      </fill>
    </dxf>
    <dxf>
      <font>
        <color theme="0"/>
      </font>
      <fill>
        <patternFill>
          <bgColor theme="0"/>
        </patternFill>
      </fill>
    </dxf>
    <dxf>
      <font>
        <b/>
        <i val="0"/>
      </font>
      <fill>
        <patternFill>
          <bgColor theme="0" tint="-0.14996795556505021"/>
        </patternFill>
      </fill>
      <border>
        <top style="thin">
          <color indexed="64"/>
        </top>
      </border>
    </dxf>
    <dxf>
      <font>
        <color theme="0"/>
      </font>
    </dxf>
    <dxf>
      <fill>
        <patternFill>
          <bgColor theme="0" tint="-4.9989318521683403E-2"/>
        </patternFill>
      </fill>
      <border>
        <top style="thin">
          <color indexed="64"/>
        </top>
      </border>
    </dxf>
    <dxf>
      <font>
        <color theme="0"/>
      </font>
      <fill>
        <patternFill>
          <bgColor theme="0"/>
        </patternFill>
      </fill>
    </dxf>
    <dxf>
      <fill>
        <patternFill>
          <bgColor theme="0" tint="-0.14996795556505021"/>
        </patternFill>
      </fill>
    </dxf>
    <dxf>
      <font>
        <color theme="0"/>
      </font>
      <fill>
        <patternFill>
          <bgColor theme="0"/>
        </patternFill>
      </fill>
    </dxf>
    <dxf>
      <font>
        <b/>
        <i val="0"/>
      </font>
      <fill>
        <patternFill>
          <bgColor theme="0" tint="-0.14996795556505021"/>
        </patternFill>
      </fill>
      <border>
        <top style="thin">
          <color indexed="64"/>
        </top>
      </border>
    </dxf>
    <dxf>
      <font>
        <color theme="0"/>
      </font>
    </dxf>
    <dxf>
      <fill>
        <patternFill>
          <bgColor theme="0" tint="-4.9989318521683403E-2"/>
        </patternFill>
      </fill>
      <border>
        <top style="thin">
          <color indexed="64"/>
        </top>
      </border>
    </dxf>
    <dxf>
      <font>
        <color theme="0"/>
      </font>
      <fill>
        <patternFill>
          <bgColor theme="0"/>
        </patternFill>
      </fill>
    </dxf>
    <dxf>
      <fill>
        <patternFill>
          <bgColor theme="0" tint="-0.14996795556505021"/>
        </patternFill>
      </fill>
    </dxf>
    <dxf>
      <font>
        <color theme="0"/>
      </font>
      <fill>
        <patternFill>
          <bgColor theme="0"/>
        </patternFill>
      </fill>
    </dxf>
    <dxf>
      <font>
        <b/>
        <i val="0"/>
      </font>
      <fill>
        <patternFill>
          <bgColor theme="0" tint="-0.14996795556505021"/>
        </patternFill>
      </fill>
      <border>
        <top style="thin">
          <color indexed="64"/>
        </top>
      </border>
    </dxf>
    <dxf>
      <font>
        <color theme="0"/>
      </font>
    </dxf>
    <dxf>
      <fill>
        <patternFill>
          <bgColor theme="0" tint="-4.9989318521683403E-2"/>
        </patternFill>
      </fill>
      <border>
        <top style="thin">
          <color indexed="64"/>
        </top>
      </border>
    </dxf>
    <dxf>
      <font>
        <color theme="0"/>
      </font>
      <fill>
        <patternFill>
          <bgColor theme="0"/>
        </patternFill>
      </fill>
    </dxf>
    <dxf>
      <fill>
        <patternFill>
          <bgColor theme="0" tint="-0.14996795556505021"/>
        </patternFill>
      </fill>
    </dxf>
    <dxf>
      <font>
        <color theme="0"/>
      </font>
      <fill>
        <patternFill>
          <bgColor theme="0"/>
        </patternFill>
      </fill>
    </dxf>
    <dxf>
      <font>
        <b/>
        <i val="0"/>
      </font>
      <fill>
        <patternFill>
          <bgColor theme="0" tint="-0.14996795556505021"/>
        </patternFill>
      </fill>
      <border>
        <top style="thin">
          <color indexed="64"/>
        </top>
      </border>
    </dxf>
    <dxf>
      <font>
        <color theme="0"/>
      </font>
    </dxf>
    <dxf>
      <fill>
        <patternFill>
          <bgColor theme="0" tint="-4.9989318521683403E-2"/>
        </patternFill>
      </fill>
    </dxf>
    <dxf>
      <font>
        <color theme="0"/>
      </font>
      <fill>
        <patternFill>
          <bgColor theme="0"/>
        </patternFill>
      </fill>
    </dxf>
    <dxf>
      <fill>
        <patternFill>
          <bgColor theme="0" tint="-0.14996795556505021"/>
        </patternFill>
      </fill>
    </dxf>
    <dxf>
      <font>
        <color theme="0"/>
      </font>
      <fill>
        <patternFill>
          <bgColor theme="0"/>
        </patternFill>
      </fill>
    </dxf>
    <dxf>
      <font>
        <b/>
        <i val="0"/>
      </font>
      <fill>
        <patternFill>
          <bgColor theme="0" tint="-0.14996795556505021"/>
        </patternFill>
      </fill>
      <border>
        <top style="thin">
          <color indexed="64"/>
        </top>
      </border>
    </dxf>
    <dxf>
      <font>
        <color theme="0"/>
      </font>
    </dxf>
    <dxf>
      <font>
        <b/>
        <i val="0"/>
        <color theme="0"/>
      </font>
      <fill>
        <patternFill>
          <bgColor rgb="FFFF0000"/>
        </patternFill>
      </fill>
    </dxf>
    <dxf>
      <font>
        <b/>
        <i val="0"/>
        <condense val="0"/>
        <extend val="0"/>
        <color indexed="22"/>
      </font>
      <fill>
        <patternFill>
          <bgColor indexed="22"/>
        </patternFill>
      </fill>
    </dxf>
    <dxf>
      <font>
        <b/>
        <i val="0"/>
        <condense val="0"/>
        <extend val="0"/>
        <color indexed="55"/>
      </font>
      <fill>
        <patternFill>
          <bgColor indexed="55"/>
        </patternFill>
      </fill>
    </dxf>
    <dxf>
      <font>
        <condense val="0"/>
        <extend val="0"/>
        <color indexed="47"/>
      </font>
      <fill>
        <patternFill>
          <bgColor indexed="47"/>
        </patternFill>
      </fill>
    </dxf>
    <dxf>
      <font>
        <condense val="0"/>
        <extend val="0"/>
        <color indexed="47"/>
      </font>
      <fill>
        <patternFill>
          <bgColor indexed="47"/>
        </patternFill>
      </fill>
    </dxf>
    <dxf>
      <font>
        <b/>
        <i val="0"/>
        <condense val="0"/>
        <extend val="0"/>
        <color indexed="22"/>
      </font>
      <fill>
        <patternFill>
          <bgColor indexed="22"/>
        </patternFill>
      </fill>
    </dxf>
    <dxf>
      <font>
        <b/>
        <i val="0"/>
        <condense val="0"/>
        <extend val="0"/>
        <color indexed="55"/>
      </font>
      <fill>
        <patternFill>
          <bgColor indexed="55"/>
        </patternFill>
      </fill>
    </dxf>
    <dxf>
      <font>
        <b/>
        <i val="0"/>
      </font>
      <fill>
        <patternFill>
          <bgColor indexed="22"/>
        </patternFill>
      </fill>
    </dxf>
    <dxf>
      <font>
        <b/>
        <i val="0"/>
      </font>
      <fill>
        <patternFill>
          <bgColor indexed="55"/>
        </patternFill>
      </fill>
    </dxf>
    <dxf>
      <font>
        <b/>
        <i/>
      </font>
      <fill>
        <patternFill>
          <bgColor rgb="FFFFFF9E"/>
        </patternFill>
      </fill>
    </dxf>
    <dxf>
      <font>
        <b/>
        <i val="0"/>
      </font>
      <fill>
        <patternFill>
          <bgColor theme="0" tint="-0.14996795556505021"/>
        </patternFill>
      </fill>
    </dxf>
    <dxf>
      <font>
        <b/>
        <i val="0"/>
        <u/>
      </font>
      <fill>
        <patternFill>
          <bgColor theme="0" tint="-0.24994659260841701"/>
        </patternFill>
      </fill>
      <border>
        <top style="thin">
          <color indexed="64"/>
        </top>
      </border>
    </dxf>
    <dxf>
      <font>
        <b val="0"/>
        <i val="0"/>
        <condense val="0"/>
        <extend val="0"/>
        <color auto="1"/>
      </font>
      <fill>
        <patternFill>
          <bgColor rgb="FFFFFF9E"/>
        </patternFill>
      </fill>
    </dxf>
    <dxf>
      <font>
        <b val="0"/>
        <i val="0"/>
        <color theme="0" tint="-0.14996795556505021"/>
        <name val="Cambria"/>
        <scheme val="none"/>
      </font>
      <fill>
        <patternFill>
          <bgColor theme="0" tint="-0.14996795556505021"/>
        </patternFill>
      </fill>
    </dxf>
    <dxf>
      <font>
        <b val="0"/>
        <i val="0"/>
        <color theme="0" tint="-0.24994659260841701"/>
        <name val="Cambria"/>
        <scheme val="none"/>
      </font>
      <fill>
        <patternFill>
          <bgColor theme="0" tint="-0.24994659260841701"/>
        </patternFill>
      </fill>
      <border>
        <top style="thin">
          <color indexed="64"/>
        </top>
      </border>
    </dxf>
    <dxf>
      <font>
        <b/>
        <i val="0"/>
        <color theme="0" tint="-0.14996795556505021"/>
        <name val="Cambria"/>
        <scheme val="none"/>
      </font>
      <fill>
        <patternFill>
          <bgColor theme="0" tint="-0.14996795556505021"/>
        </patternFill>
      </fill>
    </dxf>
    <dxf>
      <font>
        <b/>
        <i val="0"/>
        <color theme="0" tint="-0.24994659260841701"/>
        <name val="Cambria"/>
        <scheme val="none"/>
      </font>
      <fill>
        <patternFill>
          <bgColor theme="0" tint="-0.24994659260841701"/>
        </patternFill>
      </fill>
      <border>
        <top style="thin">
          <color indexed="64"/>
        </top>
      </border>
    </dxf>
    <dxf>
      <font>
        <b val="0"/>
        <i val="0"/>
        <condense val="0"/>
        <extend val="0"/>
        <color auto="1"/>
      </font>
      <fill>
        <patternFill>
          <bgColor rgb="FFFFFF9E"/>
        </patternFill>
      </fill>
    </dxf>
    <dxf>
      <font>
        <b val="0"/>
        <i val="0"/>
        <color theme="0" tint="-0.14996795556505021"/>
        <name val="Cambria"/>
        <scheme val="none"/>
      </font>
      <fill>
        <patternFill>
          <bgColor theme="0" tint="-0.14996795556505021"/>
        </patternFill>
      </fill>
    </dxf>
    <dxf>
      <font>
        <b val="0"/>
        <i val="0"/>
        <color theme="0" tint="-0.24994659260841701"/>
        <name val="Cambria"/>
        <scheme val="none"/>
      </font>
      <fill>
        <patternFill>
          <bgColor theme="0" tint="-0.24994659260841701"/>
        </patternFill>
      </fill>
      <border>
        <top style="thin">
          <color indexed="64"/>
        </top>
      </border>
    </dxf>
    <dxf>
      <font>
        <b/>
        <i val="0"/>
      </font>
      <fill>
        <patternFill>
          <bgColor theme="0" tint="-0.14996795556505021"/>
        </patternFill>
      </fill>
    </dxf>
    <dxf>
      <font>
        <b/>
        <i val="0"/>
      </font>
      <fill>
        <patternFill>
          <bgColor theme="0" tint="-0.24994659260841701"/>
        </patternFill>
      </fill>
      <border>
        <top style="thin">
          <color indexed="64"/>
        </top>
      </border>
    </dxf>
    <dxf>
      <font>
        <condense val="0"/>
        <extend val="0"/>
        <color indexed="9"/>
      </font>
    </dxf>
    <dxf>
      <font>
        <b/>
        <i val="0"/>
      </font>
      <fill>
        <patternFill>
          <bgColor theme="0" tint="-0.14996795556505021"/>
        </patternFill>
      </fill>
    </dxf>
    <dxf>
      <font>
        <b/>
        <i val="0"/>
      </font>
      <fill>
        <patternFill>
          <bgColor theme="0" tint="-0.24994659260841701"/>
        </patternFill>
      </fill>
      <border>
        <top style="thin">
          <color indexed="64"/>
        </top>
      </border>
    </dxf>
    <dxf>
      <fill>
        <patternFill>
          <bgColor rgb="FFFFFF9E"/>
        </patternFill>
      </fill>
    </dxf>
    <dxf>
      <font>
        <b/>
        <i/>
      </font>
      <fill>
        <patternFill>
          <bgColor rgb="FFFFFF9E"/>
        </patternFill>
      </fill>
    </dxf>
    <dxf>
      <font>
        <b/>
        <i val="0"/>
      </font>
      <fill>
        <patternFill>
          <bgColor theme="0" tint="-0.14996795556505021"/>
        </patternFill>
      </fill>
    </dxf>
    <dxf>
      <font>
        <b/>
        <i val="0"/>
        <u/>
      </font>
      <fill>
        <patternFill>
          <bgColor theme="0" tint="-0.24994659260841701"/>
        </patternFill>
      </fill>
      <border>
        <top style="thin">
          <color indexed="64"/>
        </top>
      </border>
    </dxf>
    <dxf>
      <font>
        <b val="0"/>
        <i val="0"/>
        <condense val="0"/>
        <extend val="0"/>
        <color auto="1"/>
      </font>
      <fill>
        <patternFill>
          <bgColor rgb="FFFFFF9E"/>
        </patternFill>
      </fill>
    </dxf>
    <dxf>
      <font>
        <b val="0"/>
        <i val="0"/>
        <color theme="0" tint="-0.14996795556505021"/>
        <name val="Cambria"/>
        <scheme val="none"/>
      </font>
      <fill>
        <patternFill>
          <bgColor theme="0" tint="-0.14996795556505021"/>
        </patternFill>
      </fill>
    </dxf>
    <dxf>
      <font>
        <b val="0"/>
        <i val="0"/>
        <color theme="0" tint="-0.24994659260841701"/>
        <name val="Cambria"/>
        <scheme val="none"/>
      </font>
      <fill>
        <patternFill>
          <bgColor theme="0" tint="-0.24994659260841701"/>
        </patternFill>
      </fill>
      <border>
        <top style="thin">
          <color indexed="64"/>
        </top>
      </border>
    </dxf>
    <dxf>
      <font>
        <b/>
        <i val="0"/>
        <color theme="0" tint="-0.14996795556505021"/>
        <name val="Cambria"/>
        <scheme val="none"/>
      </font>
      <fill>
        <patternFill>
          <bgColor theme="0" tint="-0.14996795556505021"/>
        </patternFill>
      </fill>
    </dxf>
    <dxf>
      <font>
        <b/>
        <i val="0"/>
        <color theme="0" tint="-0.24994659260841701"/>
        <name val="Cambria"/>
        <scheme val="none"/>
      </font>
      <fill>
        <patternFill>
          <bgColor theme="0" tint="-0.24994659260841701"/>
        </patternFill>
      </fill>
      <border>
        <top style="thin">
          <color indexed="64"/>
        </top>
      </border>
    </dxf>
    <dxf>
      <font>
        <b val="0"/>
        <i val="0"/>
        <condense val="0"/>
        <extend val="0"/>
        <color auto="1"/>
      </font>
      <fill>
        <patternFill>
          <bgColor rgb="FFFFFF9E"/>
        </patternFill>
      </fill>
    </dxf>
    <dxf>
      <font>
        <b val="0"/>
        <i val="0"/>
        <color theme="0" tint="-0.14996795556505021"/>
        <name val="Cambria"/>
        <scheme val="none"/>
      </font>
      <fill>
        <patternFill>
          <bgColor theme="0" tint="-0.14996795556505021"/>
        </patternFill>
      </fill>
    </dxf>
    <dxf>
      <font>
        <b val="0"/>
        <i val="0"/>
        <color theme="0" tint="-0.24994659260841701"/>
        <name val="Cambria"/>
        <scheme val="none"/>
      </font>
      <fill>
        <patternFill>
          <bgColor theme="0" tint="-0.24994659260841701"/>
        </patternFill>
      </fill>
      <border>
        <top style="thin">
          <color indexed="64"/>
        </top>
      </border>
    </dxf>
    <dxf>
      <font>
        <b/>
        <i val="0"/>
      </font>
      <fill>
        <patternFill>
          <bgColor theme="0" tint="-0.14996795556505021"/>
        </patternFill>
      </fill>
    </dxf>
    <dxf>
      <font>
        <b/>
        <i val="0"/>
      </font>
      <fill>
        <patternFill>
          <bgColor theme="0" tint="-0.24994659260841701"/>
        </patternFill>
      </fill>
      <border>
        <top style="thin">
          <color indexed="64"/>
        </top>
      </border>
    </dxf>
    <dxf>
      <font>
        <condense val="0"/>
        <extend val="0"/>
        <color indexed="9"/>
      </font>
    </dxf>
    <dxf>
      <font>
        <b/>
        <i val="0"/>
      </font>
      <fill>
        <patternFill>
          <bgColor theme="0" tint="-0.14996795556505021"/>
        </patternFill>
      </fill>
    </dxf>
    <dxf>
      <font>
        <b/>
        <i val="0"/>
      </font>
      <fill>
        <patternFill>
          <bgColor theme="0" tint="-0.24994659260841701"/>
        </patternFill>
      </fill>
      <border>
        <top style="thin">
          <color indexed="64"/>
        </top>
      </border>
    </dxf>
    <dxf>
      <font>
        <b/>
        <i val="0"/>
      </font>
      <fill>
        <patternFill>
          <bgColor rgb="FFC0C0C0"/>
        </patternFill>
      </fill>
    </dxf>
    <dxf>
      <font>
        <b/>
        <i val="0"/>
      </font>
      <fill>
        <patternFill>
          <bgColor rgb="FF969696"/>
        </patternFill>
      </fill>
    </dxf>
    <dxf>
      <font>
        <color theme="1"/>
      </font>
    </dxf>
    <dxf>
      <font>
        <b/>
        <i val="0"/>
      </font>
      <fill>
        <patternFill>
          <bgColor rgb="FFC0C0C0"/>
        </patternFill>
      </fill>
    </dxf>
    <dxf>
      <font>
        <b/>
        <i val="0"/>
      </font>
      <fill>
        <patternFill>
          <bgColor rgb="FF969696"/>
        </patternFill>
      </fill>
    </dxf>
    <dxf>
      <font>
        <condense val="0"/>
        <extend val="0"/>
        <color indexed="9"/>
      </font>
      <fill>
        <patternFill patternType="none">
          <bgColor indexed="65"/>
        </patternFill>
      </fill>
      <border>
        <left/>
        <right/>
        <top/>
        <bottom/>
      </border>
    </dxf>
    <dxf>
      <font>
        <color indexed="9"/>
      </font>
      <fill>
        <patternFill patternType="none">
          <bgColor indexed="65"/>
        </patternFill>
      </fill>
      <border>
        <left/>
        <right/>
        <top/>
        <bottom/>
      </border>
    </dxf>
    <dxf>
      <font>
        <color theme="0"/>
      </font>
      <fill>
        <patternFill patternType="none">
          <bgColor indexed="65"/>
        </patternFill>
      </fill>
      <border>
        <left/>
        <right/>
        <top/>
        <bottom/>
      </border>
    </dxf>
    <dxf>
      <fill>
        <patternFill>
          <bgColor rgb="FFFFFF9E"/>
        </patternFill>
      </fill>
    </dxf>
    <dxf>
      <fill>
        <patternFill>
          <bgColor rgb="FFFFFF9E"/>
        </patternFill>
      </fill>
    </dxf>
    <dxf>
      <border>
        <left style="thin">
          <color indexed="64"/>
        </left>
        <right style="thin">
          <color indexed="64"/>
        </right>
        <top style="thin">
          <color indexed="64"/>
        </top>
        <bottom style="thin">
          <color indexed="64"/>
        </bottom>
      </border>
    </dxf>
    <dxf>
      <font>
        <b/>
        <i val="0"/>
        <color theme="1"/>
      </font>
      <fill>
        <patternFill>
          <bgColor theme="0" tint="-0.14996795556505021"/>
        </patternFill>
      </fill>
      <border>
        <left style="thin">
          <color indexed="64"/>
        </left>
        <right style="thin">
          <color indexed="64"/>
        </right>
        <top style="thin">
          <color indexed="64"/>
        </top>
        <bottom style="thin">
          <color indexed="64"/>
        </bottom>
      </border>
    </dxf>
    <dxf>
      <font>
        <b/>
        <i val="0"/>
      </font>
      <fill>
        <patternFill>
          <bgColor theme="0" tint="-0.14996795556505021"/>
        </patternFill>
      </fill>
    </dxf>
    <dxf>
      <font>
        <condense val="0"/>
        <extend val="0"/>
        <color indexed="17"/>
      </font>
      <border>
        <left style="thin">
          <color indexed="64"/>
        </left>
        <right style="thin">
          <color indexed="64"/>
        </right>
        <top style="thin">
          <color indexed="64"/>
        </top>
        <bottom style="thin">
          <color indexed="64"/>
        </bottom>
      </border>
    </dxf>
    <dxf>
      <font>
        <condense val="0"/>
        <extend val="0"/>
        <color indexed="10"/>
      </font>
      <border>
        <left style="thin">
          <color indexed="64"/>
        </left>
        <right style="thin">
          <color indexed="64"/>
        </right>
        <top style="thin">
          <color indexed="64"/>
        </top>
        <bottom style="thin">
          <color indexed="64"/>
        </bottom>
      </border>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10.emf"/><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4.emf"/><Relationship Id="rId1" Type="http://schemas.openxmlformats.org/officeDocument/2006/relationships/image" Target="../media/image1.emf"/><Relationship Id="rId4" Type="http://schemas.openxmlformats.org/officeDocument/2006/relationships/image" Target="../media/image9.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4.emf"/><Relationship Id="rId1" Type="http://schemas.openxmlformats.org/officeDocument/2006/relationships/image" Target="../media/image1.emf"/><Relationship Id="rId4"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18</xdr:col>
      <xdr:colOff>200025</xdr:colOff>
      <xdr:row>6</xdr:row>
      <xdr:rowOff>47626</xdr:rowOff>
    </xdr:from>
    <xdr:to>
      <xdr:col>20</xdr:col>
      <xdr:colOff>352425</xdr:colOff>
      <xdr:row>7</xdr:row>
      <xdr:rowOff>219076</xdr:rowOff>
    </xdr:to>
    <xdr:sp macro="[0]!BDI_add" textlink="">
      <xdr:nvSpPr>
        <xdr:cNvPr id="4" name="FiltroButton"/>
        <xdr:cNvSpPr txBox="1">
          <a:spLocks noChangeArrowheads="1"/>
        </xdr:cNvSpPr>
      </xdr:nvSpPr>
      <xdr:spPr bwMode="auto">
        <a:xfrm>
          <a:off x="7343775" y="1000126"/>
          <a:ext cx="1057275" cy="342900"/>
        </a:xfrm>
        <a:prstGeom prst="rect">
          <a:avLst/>
        </a:prstGeom>
        <a:solidFill>
          <a:srgbClr val="E3E3E3"/>
        </a:solidFill>
        <a:ln w="9525">
          <a:solidFill>
            <a:srgbClr val="000000"/>
          </a:solidFill>
          <a:miter lim="800000"/>
          <a:headEnd/>
          <a:tailEnd/>
        </a:ln>
        <a:effectLst>
          <a:outerShdw dist="53882" dir="2700000" algn="ctr" rotWithShape="0">
            <a:srgbClr val="000080"/>
          </a:outerShdw>
        </a:effectLst>
      </xdr:spPr>
      <xdr:txBody>
        <a:bodyPr vertOverflow="clip" wrap="square" lIns="27432" tIns="22860" rIns="27432" bIns="22860" anchor="ctr" upright="1"/>
        <a:lstStyle/>
        <a:p>
          <a:pPr algn="ctr" rtl="0">
            <a:defRPr sz="1000"/>
          </a:pPr>
          <a:r>
            <a:rPr lang="pt-BR" sz="900" b="1" i="0" u="none" strike="noStrike" baseline="0">
              <a:solidFill>
                <a:srgbClr val="000000"/>
              </a:solidFill>
              <a:latin typeface="Arial"/>
              <a:cs typeface="Arial"/>
            </a:rPr>
            <a:t>Adicionar BDI</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148167</xdr:colOff>
      <xdr:row>3</xdr:row>
      <xdr:rowOff>137581</xdr:rowOff>
    </xdr:from>
    <xdr:to>
      <xdr:col>14</xdr:col>
      <xdr:colOff>86001</xdr:colOff>
      <xdr:row>3</xdr:row>
      <xdr:rowOff>317581</xdr:rowOff>
    </xdr:to>
    <xdr:sp macro="[0]!PO_Inserir_Linha" textlink="">
      <xdr:nvSpPr>
        <xdr:cNvPr id="31142" name="FiltroButton"/>
        <xdr:cNvSpPr txBox="1">
          <a:spLocks noChangeArrowheads="1"/>
        </xdr:cNvSpPr>
      </xdr:nvSpPr>
      <xdr:spPr bwMode="auto">
        <a:xfrm>
          <a:off x="994834" y="137581"/>
          <a:ext cx="2880000" cy="180000"/>
        </a:xfrm>
        <a:prstGeom prst="rect">
          <a:avLst/>
        </a:prstGeom>
        <a:solidFill>
          <a:srgbClr val="99FF99"/>
        </a:solidFill>
        <a:ln w="9525">
          <a:solidFill>
            <a:srgbClr val="000000"/>
          </a:solidFill>
          <a:miter lim="800000"/>
          <a:headEnd/>
          <a:tailEnd/>
        </a:ln>
        <a:effectLst>
          <a:outerShdw dist="53882" dir="2700000" algn="ctr" rotWithShape="0">
            <a:srgbClr val="000080"/>
          </a:outerShdw>
        </a:effectLst>
      </xdr:spPr>
      <xdr:txBody>
        <a:bodyPr vertOverflow="clip" wrap="square" lIns="27432" tIns="22860" rIns="27432" bIns="22860" anchor="ctr" upright="1"/>
        <a:lstStyle/>
        <a:p>
          <a:pPr algn="ctr" rtl="0">
            <a:defRPr sz="1000"/>
          </a:pPr>
          <a:r>
            <a:rPr lang="pt-BR" sz="900" b="1" i="0" u="none" strike="noStrike" baseline="0">
              <a:solidFill>
                <a:srgbClr val="000000"/>
              </a:solidFill>
              <a:latin typeface="Arial"/>
              <a:cs typeface="Arial"/>
            </a:rPr>
            <a:t>INCLUIR LINHA NA POSIÇÃO SELECIONADA</a:t>
          </a:r>
        </a:p>
      </xdr:txBody>
    </xdr:sp>
    <xdr:clientData fPrintsWithSheet="0"/>
  </xdr:twoCellAnchor>
  <xdr:twoCellAnchor editAs="oneCell">
    <xdr:from>
      <xdr:col>14</xdr:col>
      <xdr:colOff>3182429</xdr:colOff>
      <xdr:row>3</xdr:row>
      <xdr:rowOff>152397</xdr:rowOff>
    </xdr:from>
    <xdr:to>
      <xdr:col>15</xdr:col>
      <xdr:colOff>675512</xdr:colOff>
      <xdr:row>3</xdr:row>
      <xdr:rowOff>332397</xdr:rowOff>
    </xdr:to>
    <xdr:sp macro="[0]!PO_Excluir_Linha" textlink="">
      <xdr:nvSpPr>
        <xdr:cNvPr id="31143" name="FiltroButton"/>
        <xdr:cNvSpPr txBox="1">
          <a:spLocks noChangeArrowheads="1"/>
        </xdr:cNvSpPr>
      </xdr:nvSpPr>
      <xdr:spPr bwMode="auto">
        <a:xfrm>
          <a:off x="6971262" y="152397"/>
          <a:ext cx="2880000" cy="180000"/>
        </a:xfrm>
        <a:prstGeom prst="rect">
          <a:avLst/>
        </a:prstGeom>
        <a:solidFill>
          <a:srgbClr val="993366"/>
        </a:solidFill>
        <a:ln w="9525">
          <a:solidFill>
            <a:srgbClr val="000000"/>
          </a:solidFill>
          <a:miter lim="800000"/>
          <a:headEnd/>
          <a:tailEnd/>
        </a:ln>
        <a:effectLst>
          <a:outerShdw dist="53882" dir="2700000" algn="ctr" rotWithShape="0">
            <a:srgbClr val="000080"/>
          </a:outerShdw>
        </a:effectLst>
      </xdr:spPr>
      <xdr:txBody>
        <a:bodyPr vertOverflow="clip" wrap="square" lIns="27432" tIns="22860" rIns="27432" bIns="22860" anchor="ctr" upright="1"/>
        <a:lstStyle/>
        <a:p>
          <a:pPr algn="ctr" rtl="0">
            <a:defRPr sz="1000"/>
          </a:pPr>
          <a:r>
            <a:rPr lang="pt-BR" sz="900" b="1" i="0" u="none" strike="noStrike" baseline="0">
              <a:solidFill>
                <a:srgbClr val="FFFFFF"/>
              </a:solidFill>
              <a:latin typeface="Arial"/>
              <a:cs typeface="Arial"/>
            </a:rPr>
            <a:t>EXCLUIR LINHAS SELECIONADAS</a:t>
          </a:r>
        </a:p>
      </xdr:txBody>
    </xdr:sp>
    <xdr:clientData fPrintsWithSheet="0"/>
  </xdr:twoCellAnchor>
  <xdr:twoCellAnchor editAs="oneCell">
    <xdr:from>
      <xdr:col>14</xdr:col>
      <xdr:colOff>191560</xdr:colOff>
      <xdr:row>3</xdr:row>
      <xdr:rowOff>137580</xdr:rowOff>
    </xdr:from>
    <xdr:to>
      <xdr:col>14</xdr:col>
      <xdr:colOff>3071560</xdr:colOff>
      <xdr:row>3</xdr:row>
      <xdr:rowOff>317580</xdr:rowOff>
    </xdr:to>
    <xdr:sp macro="[0]!PO_Acrescentar_Linhas" textlink="">
      <xdr:nvSpPr>
        <xdr:cNvPr id="31158" name="FiltroButton"/>
        <xdr:cNvSpPr txBox="1">
          <a:spLocks noChangeArrowheads="1"/>
        </xdr:cNvSpPr>
      </xdr:nvSpPr>
      <xdr:spPr bwMode="auto">
        <a:xfrm>
          <a:off x="3980393" y="137580"/>
          <a:ext cx="2880000" cy="180000"/>
        </a:xfrm>
        <a:prstGeom prst="rect">
          <a:avLst/>
        </a:prstGeom>
        <a:solidFill>
          <a:srgbClr val="99FF99"/>
        </a:solidFill>
        <a:ln w="9525">
          <a:solidFill>
            <a:srgbClr val="000000"/>
          </a:solidFill>
          <a:miter lim="800000"/>
          <a:headEnd/>
          <a:tailEnd/>
        </a:ln>
        <a:effectLst>
          <a:outerShdw dist="53882" dir="2700000" algn="ctr" rotWithShape="0">
            <a:srgbClr val="000080"/>
          </a:outerShdw>
        </a:effectLst>
      </xdr:spPr>
      <xdr:txBody>
        <a:bodyPr vertOverflow="clip" wrap="square" lIns="27432" tIns="22860" rIns="27432" bIns="22860" anchor="ctr" upright="1"/>
        <a:lstStyle/>
        <a:p>
          <a:pPr algn="ctr" rtl="0">
            <a:defRPr sz="1000"/>
          </a:pPr>
          <a:r>
            <a:rPr lang="pt-BR" sz="900" b="1" i="0" u="none" strike="noStrike" baseline="0">
              <a:solidFill>
                <a:srgbClr val="000000"/>
              </a:solidFill>
              <a:latin typeface="Arial"/>
              <a:cs typeface="Arial"/>
            </a:rPr>
            <a:t>ACRESCENTAR LINHAS NO FINAL DO ORÇ.</a:t>
          </a:r>
        </a:p>
      </xdr:txBody>
    </xdr:sp>
    <xdr:clientData fPrintsWithSheet="0"/>
  </xdr:twoCellAnchor>
  <mc:AlternateContent xmlns:mc="http://schemas.openxmlformats.org/markup-compatibility/2006">
    <mc:Choice xmlns:a14="http://schemas.microsoft.com/office/drawing/2010/main" Requires="a14">
      <xdr:twoCellAnchor editAs="oneCell">
        <xdr:from>
          <xdr:col>11</xdr:col>
          <xdr:colOff>57150</xdr:colOff>
          <xdr:row>4</xdr:row>
          <xdr:rowOff>19050</xdr:rowOff>
        </xdr:from>
        <xdr:to>
          <xdr:col>12</xdr:col>
          <xdr:colOff>1000125</xdr:colOff>
          <xdr:row>6</xdr:row>
          <xdr:rowOff>76200</xdr:rowOff>
        </xdr:to>
        <xdr:sp macro="" textlink="">
          <xdr:nvSpPr>
            <xdr:cNvPr id="31091" name="Object 371" hidden="1">
              <a:extLst>
                <a:ext uri="{63B3BB69-23CF-44E3-9099-C40C66FF867C}">
                  <a14:compatExt spid="_x0000_s310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9525</xdr:colOff>
          <xdr:row>7</xdr:row>
          <xdr:rowOff>38100</xdr:rowOff>
        </xdr:from>
        <xdr:to>
          <xdr:col>20</xdr:col>
          <xdr:colOff>933450</xdr:colOff>
          <xdr:row>10</xdr:row>
          <xdr:rowOff>257175</xdr:rowOff>
        </xdr:to>
        <xdr:pic>
          <xdr:nvPicPr>
            <xdr:cNvPr id="170252" name="Picture 482"/>
            <xdr:cNvPicPr>
              <a:picLocks noChangeArrowheads="1"/>
              <a:extLst>
                <a:ext uri="{84589F7E-364E-4C9E-8A38-B11213B215E9}">
                  <a14:cameraTool cellRange="DADOS!$A$240:$X$250" spid="_x0000_s170308"/>
                </a:ext>
              </a:extLst>
            </xdr:cNvPicPr>
          </xdr:nvPicPr>
          <xdr:blipFill>
            <a:blip xmlns:r="http://schemas.openxmlformats.org/officeDocument/2006/relationships" r:embed="rId1"/>
            <a:srcRect/>
            <a:stretch>
              <a:fillRect/>
            </a:stretch>
          </xdr:blipFill>
          <xdr:spPr bwMode="auto">
            <a:xfrm>
              <a:off x="857250" y="990600"/>
              <a:ext cx="13820775" cy="11620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11</xdr:col>
          <xdr:colOff>19050</xdr:colOff>
          <xdr:row>55</xdr:row>
          <xdr:rowOff>247650</xdr:rowOff>
        </xdr:from>
        <xdr:to>
          <xdr:col>21</xdr:col>
          <xdr:colOff>0</xdr:colOff>
          <xdr:row>60</xdr:row>
          <xdr:rowOff>161925</xdr:rowOff>
        </xdr:to>
        <xdr:pic>
          <xdr:nvPicPr>
            <xdr:cNvPr id="170253" name="Picture 483"/>
            <xdr:cNvPicPr>
              <a:picLocks noChangeArrowheads="1"/>
              <a:extLst>
                <a:ext uri="{84589F7E-364E-4C9E-8A38-B11213B215E9}">
                  <a14:cameraTool cellRange="DADOS!A51:X59" spid="_x0000_s170309"/>
                </a:ext>
              </a:extLst>
            </xdr:cNvPicPr>
          </xdr:nvPicPr>
          <xdr:blipFill>
            <a:blip xmlns:r="http://schemas.openxmlformats.org/officeDocument/2006/relationships" r:embed="rId2"/>
            <a:srcRect/>
            <a:stretch>
              <a:fillRect/>
            </a:stretch>
          </xdr:blipFill>
          <xdr:spPr bwMode="auto">
            <a:xfrm>
              <a:off x="866775" y="9591675"/>
              <a:ext cx="13925550" cy="8286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xdr:col>
      <xdr:colOff>47625</xdr:colOff>
      <xdr:row>13</xdr:row>
      <xdr:rowOff>457200</xdr:rowOff>
    </xdr:from>
    <xdr:to>
      <xdr:col>4</xdr:col>
      <xdr:colOff>819150</xdr:colOff>
      <xdr:row>13</xdr:row>
      <xdr:rowOff>895350</xdr:rowOff>
    </xdr:to>
    <xdr:sp macro="" textlink="">
      <xdr:nvSpPr>
        <xdr:cNvPr id="31812" name="AutoShape 68" descr="Frente de Obra:"/>
        <xdr:cNvSpPr>
          <a:spLocks noChangeArrowheads="1"/>
        </xdr:cNvSpPr>
      </xdr:nvSpPr>
      <xdr:spPr bwMode="auto">
        <a:xfrm>
          <a:off x="5648325" y="5267325"/>
          <a:ext cx="1285875" cy="438150"/>
        </a:xfrm>
        <a:prstGeom prst="rightArrow">
          <a:avLst>
            <a:gd name="adj1" fmla="val 50000"/>
            <a:gd name="adj2" fmla="val 73370"/>
          </a:avLst>
        </a:prstGeom>
        <a:solidFill>
          <a:srgbClr val="CCFFCC"/>
        </a:solidFill>
        <a:ln w="9525" algn="ctr">
          <a:solidFill>
            <a:srgbClr val="000000"/>
          </a:solidFill>
          <a:miter lim="800000"/>
          <a:headEnd/>
          <a:tailEnd/>
        </a:ln>
        <a:effectLst>
          <a:outerShdw dist="53882" dir="2700000" algn="ctr" rotWithShape="0">
            <a:srgbClr val="000080"/>
          </a:outerShdw>
        </a:effectLst>
      </xdr:spPr>
      <xdr:txBody>
        <a:bodyPr vertOverflow="clip" wrap="square" lIns="27432" tIns="22860" rIns="27432" bIns="22860" anchor="t" upright="1"/>
        <a:lstStyle/>
        <a:p>
          <a:pPr algn="l" rtl="0">
            <a:defRPr sz="1000"/>
          </a:pPr>
          <a:r>
            <a:rPr lang="pt-BR" sz="1000" b="1" i="0" u="none" strike="noStrike" baseline="0">
              <a:solidFill>
                <a:srgbClr val="000000"/>
              </a:solidFill>
              <a:latin typeface="Arial"/>
              <a:cs typeface="Arial"/>
            </a:rPr>
            <a:t>Frente de Obra:</a:t>
          </a: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4</xdr:row>
          <xdr:rowOff>28575</xdr:rowOff>
        </xdr:from>
        <xdr:to>
          <xdr:col>2</xdr:col>
          <xdr:colOff>1104900</xdr:colOff>
          <xdr:row>5</xdr:row>
          <xdr:rowOff>190500</xdr:rowOff>
        </xdr:to>
        <xdr:sp macro="" textlink="">
          <xdr:nvSpPr>
            <xdr:cNvPr id="31814" name="Object 70" hidden="1">
              <a:extLst>
                <a:ext uri="{63B3BB69-23CF-44E3-9099-C40C66FF867C}">
                  <a14:compatExt spid="_x0000_s318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7</xdr:row>
          <xdr:rowOff>9525</xdr:rowOff>
        </xdr:from>
        <xdr:to>
          <xdr:col>14</xdr:col>
          <xdr:colOff>781050</xdr:colOff>
          <xdr:row>9</xdr:row>
          <xdr:rowOff>133350</xdr:rowOff>
        </xdr:to>
        <xdr:pic>
          <xdr:nvPicPr>
            <xdr:cNvPr id="171358" name="Picture 71"/>
            <xdr:cNvPicPr>
              <a:picLocks noChangeArrowheads="1"/>
              <a:extLst>
                <a:ext uri="{84589F7E-364E-4C9E-8A38-B11213B215E9}">
                  <a14:cameraTool cellRange="DADOS!$A$240:$X$250" spid="_x0000_s171638"/>
                </a:ext>
              </a:extLst>
            </xdr:cNvPicPr>
          </xdr:nvPicPr>
          <xdr:blipFill>
            <a:blip xmlns:r="http://schemas.openxmlformats.org/officeDocument/2006/relationships" r:embed="rId1"/>
            <a:srcRect/>
            <a:stretch>
              <a:fillRect/>
            </a:stretch>
          </xdr:blipFill>
          <xdr:spPr bwMode="auto">
            <a:xfrm>
              <a:off x="19050" y="590550"/>
              <a:ext cx="13906500" cy="11334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15</xdr:col>
          <xdr:colOff>9525</xdr:colOff>
          <xdr:row>7</xdr:row>
          <xdr:rowOff>0</xdr:rowOff>
        </xdr:from>
        <xdr:to>
          <xdr:col>25</xdr:col>
          <xdr:colOff>0</xdr:colOff>
          <xdr:row>9</xdr:row>
          <xdr:rowOff>123825</xdr:rowOff>
        </xdr:to>
        <xdr:pic>
          <xdr:nvPicPr>
            <xdr:cNvPr id="171359" name="Picture 74"/>
            <xdr:cNvPicPr>
              <a:picLocks noChangeArrowheads="1"/>
              <a:extLst>
                <a:ext uri="{84589F7E-364E-4C9E-8A38-B11213B215E9}">
                  <a14:cameraTool cellRange="DADOS!$A$240:$X$250" spid="_x0000_s171639"/>
                </a:ext>
              </a:extLst>
            </xdr:cNvPicPr>
          </xdr:nvPicPr>
          <xdr:blipFill>
            <a:blip xmlns:r="http://schemas.openxmlformats.org/officeDocument/2006/relationships" r:embed="rId2"/>
            <a:srcRect l="44028"/>
            <a:stretch>
              <a:fillRect/>
            </a:stretch>
          </xdr:blipFill>
          <xdr:spPr bwMode="auto">
            <a:xfrm>
              <a:off x="13935075" y="581025"/>
              <a:ext cx="7800975" cy="11334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7</xdr:row>
          <xdr:rowOff>0</xdr:rowOff>
        </xdr:from>
        <xdr:to>
          <xdr:col>35</xdr:col>
          <xdr:colOff>9525</xdr:colOff>
          <xdr:row>9</xdr:row>
          <xdr:rowOff>123825</xdr:rowOff>
        </xdr:to>
        <xdr:pic>
          <xdr:nvPicPr>
            <xdr:cNvPr id="171360" name="Picture 105"/>
            <xdr:cNvPicPr>
              <a:picLocks noChangeArrowheads="1"/>
              <a:extLst>
                <a:ext uri="{84589F7E-364E-4C9E-8A38-B11213B215E9}">
                  <a14:cameraTool cellRange="DADOS!$A$240:$X$250" spid="_x0000_s171640"/>
                </a:ext>
              </a:extLst>
            </xdr:cNvPicPr>
          </xdr:nvPicPr>
          <xdr:blipFill>
            <a:blip xmlns:r="http://schemas.openxmlformats.org/officeDocument/2006/relationships" r:embed="rId2"/>
            <a:srcRect l="44028"/>
            <a:stretch>
              <a:fillRect/>
            </a:stretch>
          </xdr:blipFill>
          <xdr:spPr bwMode="auto">
            <a:xfrm>
              <a:off x="21736050" y="581025"/>
              <a:ext cx="7820025" cy="11334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35</xdr:col>
          <xdr:colOff>9525</xdr:colOff>
          <xdr:row>7</xdr:row>
          <xdr:rowOff>0</xdr:rowOff>
        </xdr:from>
        <xdr:to>
          <xdr:col>45</xdr:col>
          <xdr:colOff>0</xdr:colOff>
          <xdr:row>9</xdr:row>
          <xdr:rowOff>123825</xdr:rowOff>
        </xdr:to>
        <xdr:pic>
          <xdr:nvPicPr>
            <xdr:cNvPr id="171361" name="Picture 110"/>
            <xdr:cNvPicPr>
              <a:picLocks noChangeArrowheads="1"/>
              <a:extLst>
                <a:ext uri="{84589F7E-364E-4C9E-8A38-B11213B215E9}">
                  <a14:cameraTool cellRange="DADOS!$A$240:$X$250" spid="_x0000_s171641"/>
                </a:ext>
              </a:extLst>
            </xdr:cNvPicPr>
          </xdr:nvPicPr>
          <xdr:blipFill>
            <a:blip xmlns:r="http://schemas.openxmlformats.org/officeDocument/2006/relationships" r:embed="rId2"/>
            <a:srcRect l="44028"/>
            <a:stretch>
              <a:fillRect/>
            </a:stretch>
          </xdr:blipFill>
          <xdr:spPr bwMode="auto">
            <a:xfrm>
              <a:off x="29556075" y="581025"/>
              <a:ext cx="7800975" cy="11334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7</xdr:row>
          <xdr:rowOff>0</xdr:rowOff>
        </xdr:from>
        <xdr:to>
          <xdr:col>55</xdr:col>
          <xdr:colOff>9525</xdr:colOff>
          <xdr:row>9</xdr:row>
          <xdr:rowOff>123825</xdr:rowOff>
        </xdr:to>
        <xdr:pic>
          <xdr:nvPicPr>
            <xdr:cNvPr id="171362" name="Picture 120"/>
            <xdr:cNvPicPr>
              <a:picLocks noChangeArrowheads="1"/>
              <a:extLst>
                <a:ext uri="{84589F7E-364E-4C9E-8A38-B11213B215E9}">
                  <a14:cameraTool cellRange="DADOS!$A$240:$X$250" spid="_x0000_s171642"/>
                </a:ext>
              </a:extLst>
            </xdr:cNvPicPr>
          </xdr:nvPicPr>
          <xdr:blipFill>
            <a:blip xmlns:r="http://schemas.openxmlformats.org/officeDocument/2006/relationships" r:embed="rId2"/>
            <a:srcRect l="44028"/>
            <a:stretch>
              <a:fillRect/>
            </a:stretch>
          </xdr:blipFill>
          <xdr:spPr bwMode="auto">
            <a:xfrm>
              <a:off x="37366575" y="581025"/>
              <a:ext cx="7810500" cy="11334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12</xdr:col>
          <xdr:colOff>190500</xdr:colOff>
          <xdr:row>54</xdr:row>
          <xdr:rowOff>0</xdr:rowOff>
        </xdr:to>
        <xdr:pic>
          <xdr:nvPicPr>
            <xdr:cNvPr id="171363" name="Picture 483"/>
            <xdr:cNvPicPr>
              <a:picLocks noChangeArrowheads="1"/>
              <a:extLst>
                <a:ext uri="{84589F7E-364E-4C9E-8A38-B11213B215E9}">
                  <a14:cameraTool cellRange="DADOS!A51:W59" spid="_x0000_s171643"/>
                </a:ext>
              </a:extLst>
            </xdr:cNvPicPr>
          </xdr:nvPicPr>
          <xdr:blipFill>
            <a:blip xmlns:r="http://schemas.openxmlformats.org/officeDocument/2006/relationships" r:embed="rId3"/>
            <a:srcRect/>
            <a:stretch>
              <a:fillRect/>
            </a:stretch>
          </xdr:blipFill>
          <xdr:spPr bwMode="auto">
            <a:xfrm>
              <a:off x="0" y="9029700"/>
              <a:ext cx="11772900" cy="8096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49</xdr:row>
          <xdr:rowOff>0</xdr:rowOff>
        </xdr:from>
        <xdr:to>
          <xdr:col>22</xdr:col>
          <xdr:colOff>219075</xdr:colOff>
          <xdr:row>54</xdr:row>
          <xdr:rowOff>0</xdr:rowOff>
        </xdr:to>
        <xdr:pic>
          <xdr:nvPicPr>
            <xdr:cNvPr id="171364" name="Picture 5476"/>
            <xdr:cNvPicPr>
              <a:picLocks noChangeArrowheads="1"/>
              <a:extLst>
                <a:ext uri="{84589F7E-364E-4C9E-8A38-B11213B215E9}">
                  <a14:cameraTool cellRange="DADOS!A51:W59" spid="_x0000_s171644"/>
                </a:ext>
              </a:extLst>
            </xdr:cNvPicPr>
          </xdr:nvPicPr>
          <xdr:blipFill>
            <a:blip xmlns:r="http://schemas.openxmlformats.org/officeDocument/2006/relationships" r:embed="rId3"/>
            <a:srcRect l="51906"/>
            <a:stretch>
              <a:fillRect/>
            </a:stretch>
          </xdr:blipFill>
          <xdr:spPr bwMode="auto">
            <a:xfrm>
              <a:off x="13925550" y="9029700"/>
              <a:ext cx="5686425" cy="8096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49</xdr:row>
          <xdr:rowOff>0</xdr:rowOff>
        </xdr:from>
        <xdr:to>
          <xdr:col>32</xdr:col>
          <xdr:colOff>219075</xdr:colOff>
          <xdr:row>54</xdr:row>
          <xdr:rowOff>0</xdr:rowOff>
        </xdr:to>
        <xdr:pic>
          <xdr:nvPicPr>
            <xdr:cNvPr id="171365" name="Picture 5477"/>
            <xdr:cNvPicPr>
              <a:picLocks noChangeArrowheads="1"/>
              <a:extLst>
                <a:ext uri="{84589F7E-364E-4C9E-8A38-B11213B215E9}">
                  <a14:cameraTool cellRange="DADOS!A51:W59" spid="_x0000_s171645"/>
                </a:ext>
              </a:extLst>
            </xdr:cNvPicPr>
          </xdr:nvPicPr>
          <xdr:blipFill>
            <a:blip xmlns:r="http://schemas.openxmlformats.org/officeDocument/2006/relationships" r:embed="rId3"/>
            <a:srcRect l="51906"/>
            <a:stretch>
              <a:fillRect/>
            </a:stretch>
          </xdr:blipFill>
          <xdr:spPr bwMode="auto">
            <a:xfrm>
              <a:off x="21736050" y="9029700"/>
              <a:ext cx="5686425" cy="8096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49</xdr:row>
          <xdr:rowOff>0</xdr:rowOff>
        </xdr:from>
        <xdr:to>
          <xdr:col>42</xdr:col>
          <xdr:colOff>219075</xdr:colOff>
          <xdr:row>54</xdr:row>
          <xdr:rowOff>0</xdr:rowOff>
        </xdr:to>
        <xdr:pic>
          <xdr:nvPicPr>
            <xdr:cNvPr id="171366" name="Picture 5478"/>
            <xdr:cNvPicPr>
              <a:picLocks noChangeArrowheads="1"/>
              <a:extLst>
                <a:ext uri="{84589F7E-364E-4C9E-8A38-B11213B215E9}">
                  <a14:cameraTool cellRange="DADOS!A51:W59" spid="_x0000_s171646"/>
                </a:ext>
              </a:extLst>
            </xdr:cNvPicPr>
          </xdr:nvPicPr>
          <xdr:blipFill>
            <a:blip xmlns:r="http://schemas.openxmlformats.org/officeDocument/2006/relationships" r:embed="rId3"/>
            <a:srcRect l="51906"/>
            <a:stretch>
              <a:fillRect/>
            </a:stretch>
          </xdr:blipFill>
          <xdr:spPr bwMode="auto">
            <a:xfrm>
              <a:off x="29546550" y="9029700"/>
              <a:ext cx="5686425" cy="8096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49</xdr:row>
          <xdr:rowOff>0</xdr:rowOff>
        </xdr:from>
        <xdr:to>
          <xdr:col>52</xdr:col>
          <xdr:colOff>219075</xdr:colOff>
          <xdr:row>54</xdr:row>
          <xdr:rowOff>0</xdr:rowOff>
        </xdr:to>
        <xdr:pic>
          <xdr:nvPicPr>
            <xdr:cNvPr id="171367" name="Picture 5479"/>
            <xdr:cNvPicPr>
              <a:picLocks noChangeArrowheads="1"/>
              <a:extLst>
                <a:ext uri="{84589F7E-364E-4C9E-8A38-B11213B215E9}">
                  <a14:cameraTool cellRange="DADOS!A51:W59" spid="_x0000_s171647"/>
                </a:ext>
              </a:extLst>
            </xdr:cNvPicPr>
          </xdr:nvPicPr>
          <xdr:blipFill>
            <a:blip xmlns:r="http://schemas.openxmlformats.org/officeDocument/2006/relationships" r:embed="rId3"/>
            <a:srcRect l="51906"/>
            <a:stretch>
              <a:fillRect/>
            </a:stretch>
          </xdr:blipFill>
          <xdr:spPr bwMode="auto">
            <a:xfrm>
              <a:off x="37357050" y="9029700"/>
              <a:ext cx="5686425" cy="8096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3</xdr:row>
          <xdr:rowOff>38100</xdr:rowOff>
        </xdr:from>
        <xdr:to>
          <xdr:col>3</xdr:col>
          <xdr:colOff>1409700</xdr:colOff>
          <xdr:row>5</xdr:row>
          <xdr:rowOff>95250</xdr:rowOff>
        </xdr:to>
        <xdr:sp macro="" textlink="">
          <xdr:nvSpPr>
            <xdr:cNvPr id="41835" name="Object 5995" hidden="1">
              <a:extLst>
                <a:ext uri="{63B3BB69-23CF-44E3-9099-C40C66FF867C}">
                  <a14:compatExt spid="_x0000_s418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6</xdr:row>
          <xdr:rowOff>38100</xdr:rowOff>
        </xdr:from>
        <xdr:to>
          <xdr:col>13</xdr:col>
          <xdr:colOff>923925</xdr:colOff>
          <xdr:row>9</xdr:row>
          <xdr:rowOff>190500</xdr:rowOff>
        </xdr:to>
        <xdr:pic>
          <xdr:nvPicPr>
            <xdr:cNvPr id="168659" name="Picture 482"/>
            <xdr:cNvPicPr>
              <a:picLocks noChangeArrowheads="1"/>
              <a:extLst>
                <a:ext uri="{84589F7E-364E-4C9E-8A38-B11213B215E9}">
                  <a14:cameraTool cellRange="DADOS!$A$240:$X$250" spid="_x0000_s168939"/>
                </a:ext>
              </a:extLst>
            </xdr:cNvPicPr>
          </xdr:nvPicPr>
          <xdr:blipFill>
            <a:blip xmlns:r="http://schemas.openxmlformats.org/officeDocument/2006/relationships" r:embed="rId1"/>
            <a:srcRect r="-15"/>
            <a:stretch>
              <a:fillRect/>
            </a:stretch>
          </xdr:blipFill>
          <xdr:spPr bwMode="auto">
            <a:xfrm>
              <a:off x="0" y="523875"/>
              <a:ext cx="13211175" cy="1095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6</xdr:row>
          <xdr:rowOff>38100</xdr:rowOff>
        </xdr:from>
        <xdr:to>
          <xdr:col>21</xdr:col>
          <xdr:colOff>923925</xdr:colOff>
          <xdr:row>9</xdr:row>
          <xdr:rowOff>190500</xdr:rowOff>
        </xdr:to>
        <xdr:pic>
          <xdr:nvPicPr>
            <xdr:cNvPr id="168660" name="Picture 119508"/>
            <xdr:cNvPicPr>
              <a:picLocks noChangeArrowheads="1"/>
              <a:extLst>
                <a:ext uri="{84589F7E-364E-4C9E-8A38-B11213B215E9}">
                  <a14:cameraTool cellRange="DADOS!$A$240:$X$250" spid="_x0000_s168940"/>
                </a:ext>
              </a:extLst>
            </xdr:cNvPicPr>
          </xdr:nvPicPr>
          <xdr:blipFill>
            <a:blip xmlns:r="http://schemas.openxmlformats.org/officeDocument/2006/relationships" r:embed="rId1"/>
            <a:srcRect l="42586"/>
            <a:stretch>
              <a:fillRect/>
            </a:stretch>
          </xdr:blipFill>
          <xdr:spPr bwMode="auto">
            <a:xfrm>
              <a:off x="13258800" y="523875"/>
              <a:ext cx="7572375" cy="1095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22</xdr:col>
          <xdr:colOff>9525</xdr:colOff>
          <xdr:row>6</xdr:row>
          <xdr:rowOff>38100</xdr:rowOff>
        </xdr:from>
        <xdr:to>
          <xdr:col>29</xdr:col>
          <xdr:colOff>923925</xdr:colOff>
          <xdr:row>9</xdr:row>
          <xdr:rowOff>190500</xdr:rowOff>
        </xdr:to>
        <xdr:pic>
          <xdr:nvPicPr>
            <xdr:cNvPr id="168661" name="Picture 119509"/>
            <xdr:cNvPicPr>
              <a:picLocks noChangeArrowheads="1"/>
              <a:extLst>
                <a:ext uri="{84589F7E-364E-4C9E-8A38-B11213B215E9}">
                  <a14:cameraTool cellRange="DADOS!$A$240:$X$250" spid="_x0000_s168941"/>
                </a:ext>
              </a:extLst>
            </xdr:cNvPicPr>
          </xdr:nvPicPr>
          <xdr:blipFill>
            <a:blip xmlns:r="http://schemas.openxmlformats.org/officeDocument/2006/relationships" r:embed="rId1"/>
            <a:srcRect l="42586"/>
            <a:stretch>
              <a:fillRect/>
            </a:stretch>
          </xdr:blipFill>
          <xdr:spPr bwMode="auto">
            <a:xfrm>
              <a:off x="20869275" y="523875"/>
              <a:ext cx="7581900" cy="1095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30</xdr:col>
          <xdr:colOff>9525</xdr:colOff>
          <xdr:row>6</xdr:row>
          <xdr:rowOff>38100</xdr:rowOff>
        </xdr:from>
        <xdr:to>
          <xdr:col>37</xdr:col>
          <xdr:colOff>914400</xdr:colOff>
          <xdr:row>9</xdr:row>
          <xdr:rowOff>190500</xdr:rowOff>
        </xdr:to>
        <xdr:pic>
          <xdr:nvPicPr>
            <xdr:cNvPr id="168662" name="Picture 119510"/>
            <xdr:cNvPicPr>
              <a:picLocks noChangeArrowheads="1"/>
              <a:extLst>
                <a:ext uri="{84589F7E-364E-4C9E-8A38-B11213B215E9}">
                  <a14:cameraTool cellRange="DADOS!$A$240:$X$250" spid="_x0000_s168942"/>
                </a:ext>
              </a:extLst>
            </xdr:cNvPicPr>
          </xdr:nvPicPr>
          <xdr:blipFill>
            <a:blip xmlns:r="http://schemas.openxmlformats.org/officeDocument/2006/relationships" r:embed="rId1"/>
            <a:srcRect l="42586"/>
            <a:stretch>
              <a:fillRect/>
            </a:stretch>
          </xdr:blipFill>
          <xdr:spPr bwMode="auto">
            <a:xfrm>
              <a:off x="28489275" y="523875"/>
              <a:ext cx="7572375" cy="1095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xdr:from>
          <xdr:col>38</xdr:col>
          <xdr:colOff>9525</xdr:colOff>
          <xdr:row>6</xdr:row>
          <xdr:rowOff>38100</xdr:rowOff>
        </xdr:from>
        <xdr:to>
          <xdr:col>45</xdr:col>
          <xdr:colOff>914400</xdr:colOff>
          <xdr:row>9</xdr:row>
          <xdr:rowOff>190500</xdr:rowOff>
        </xdr:to>
        <xdr:pic>
          <xdr:nvPicPr>
            <xdr:cNvPr id="168663" name="Picture 119511"/>
            <xdr:cNvPicPr>
              <a:picLocks noChangeArrowheads="1"/>
              <a:extLst>
                <a:ext uri="{84589F7E-364E-4C9E-8A38-B11213B215E9}">
                  <a14:cameraTool cellRange="DADOS!$A$240:$X$250" spid="_x0000_s168943"/>
                </a:ext>
              </a:extLst>
            </xdr:cNvPicPr>
          </xdr:nvPicPr>
          <xdr:blipFill>
            <a:blip xmlns:r="http://schemas.openxmlformats.org/officeDocument/2006/relationships" r:embed="rId1"/>
            <a:srcRect l="42586"/>
            <a:stretch>
              <a:fillRect/>
            </a:stretch>
          </xdr:blipFill>
          <xdr:spPr bwMode="auto">
            <a:xfrm>
              <a:off x="36109275" y="523875"/>
              <a:ext cx="7572375" cy="1095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46</xdr:row>
          <xdr:rowOff>0</xdr:rowOff>
        </xdr:from>
        <xdr:to>
          <xdr:col>12</xdr:col>
          <xdr:colOff>409575</xdr:colOff>
          <xdr:row>50</xdr:row>
          <xdr:rowOff>152400</xdr:rowOff>
        </xdr:to>
        <xdr:pic>
          <xdr:nvPicPr>
            <xdr:cNvPr id="168664" name="Picture 483"/>
            <xdr:cNvPicPr>
              <a:picLocks noChangeArrowheads="1"/>
              <a:extLst>
                <a:ext uri="{84589F7E-364E-4C9E-8A38-B11213B215E9}">
                  <a14:cameraTool cellRange="DADOS!A51:W59" spid="_x0000_s168944"/>
                </a:ext>
              </a:extLst>
            </xdr:cNvPicPr>
          </xdr:nvPicPr>
          <xdr:blipFill>
            <a:blip xmlns:r="http://schemas.openxmlformats.org/officeDocument/2006/relationships" r:embed="rId2"/>
            <a:srcRect/>
            <a:stretch>
              <a:fillRect/>
            </a:stretch>
          </xdr:blipFill>
          <xdr:spPr bwMode="auto">
            <a:xfrm>
              <a:off x="0" y="7810500"/>
              <a:ext cx="11744325" cy="8001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46</xdr:row>
          <xdr:rowOff>0</xdr:rowOff>
        </xdr:from>
        <xdr:to>
          <xdr:col>20</xdr:col>
          <xdr:colOff>361950</xdr:colOff>
          <xdr:row>50</xdr:row>
          <xdr:rowOff>152400</xdr:rowOff>
        </xdr:to>
        <xdr:pic>
          <xdr:nvPicPr>
            <xdr:cNvPr id="168665" name="Picture 119513"/>
            <xdr:cNvPicPr>
              <a:picLocks noChangeArrowheads="1"/>
              <a:extLst>
                <a:ext uri="{84589F7E-364E-4C9E-8A38-B11213B215E9}">
                  <a14:cameraTool cellRange="DADOS!A51:W59" spid="_x0000_s168945"/>
                </a:ext>
              </a:extLst>
            </xdr:cNvPicPr>
          </xdr:nvPicPr>
          <xdr:blipFill>
            <a:blip xmlns:r="http://schemas.openxmlformats.org/officeDocument/2006/relationships" r:embed="rId3"/>
            <a:srcRect l="48335"/>
            <a:stretch>
              <a:fillRect/>
            </a:stretch>
          </xdr:blipFill>
          <xdr:spPr bwMode="auto">
            <a:xfrm>
              <a:off x="13239750" y="7810500"/>
              <a:ext cx="6076950" cy="8001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46</xdr:row>
          <xdr:rowOff>0</xdr:rowOff>
        </xdr:from>
        <xdr:to>
          <xdr:col>28</xdr:col>
          <xdr:colOff>361950</xdr:colOff>
          <xdr:row>50</xdr:row>
          <xdr:rowOff>152400</xdr:rowOff>
        </xdr:to>
        <xdr:pic>
          <xdr:nvPicPr>
            <xdr:cNvPr id="168666" name="Picture 119514"/>
            <xdr:cNvPicPr>
              <a:picLocks noChangeArrowheads="1"/>
              <a:extLst>
                <a:ext uri="{84589F7E-364E-4C9E-8A38-B11213B215E9}">
                  <a14:cameraTool cellRange="DADOS!A51:W59" spid="_x0000_s168946"/>
                </a:ext>
              </a:extLst>
            </xdr:cNvPicPr>
          </xdr:nvPicPr>
          <xdr:blipFill>
            <a:blip xmlns:r="http://schemas.openxmlformats.org/officeDocument/2006/relationships" r:embed="rId3"/>
            <a:srcRect l="48335"/>
            <a:stretch>
              <a:fillRect/>
            </a:stretch>
          </xdr:blipFill>
          <xdr:spPr bwMode="auto">
            <a:xfrm>
              <a:off x="20859750" y="7810500"/>
              <a:ext cx="6076950" cy="8001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46</xdr:row>
          <xdr:rowOff>0</xdr:rowOff>
        </xdr:from>
        <xdr:to>
          <xdr:col>36</xdr:col>
          <xdr:colOff>361950</xdr:colOff>
          <xdr:row>50</xdr:row>
          <xdr:rowOff>152400</xdr:rowOff>
        </xdr:to>
        <xdr:pic>
          <xdr:nvPicPr>
            <xdr:cNvPr id="168667" name="Picture 119515"/>
            <xdr:cNvPicPr>
              <a:picLocks noChangeArrowheads="1"/>
              <a:extLst>
                <a:ext uri="{84589F7E-364E-4C9E-8A38-B11213B215E9}">
                  <a14:cameraTool cellRange="DADOS!A51:W59" spid="_x0000_s168947"/>
                </a:ext>
              </a:extLst>
            </xdr:cNvPicPr>
          </xdr:nvPicPr>
          <xdr:blipFill>
            <a:blip xmlns:r="http://schemas.openxmlformats.org/officeDocument/2006/relationships" r:embed="rId3"/>
            <a:srcRect l="48335"/>
            <a:stretch>
              <a:fillRect/>
            </a:stretch>
          </xdr:blipFill>
          <xdr:spPr bwMode="auto">
            <a:xfrm>
              <a:off x="28479750" y="7810500"/>
              <a:ext cx="6076950" cy="8001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46</xdr:row>
          <xdr:rowOff>0</xdr:rowOff>
        </xdr:from>
        <xdr:to>
          <xdr:col>44</xdr:col>
          <xdr:colOff>361950</xdr:colOff>
          <xdr:row>50</xdr:row>
          <xdr:rowOff>152400</xdr:rowOff>
        </xdr:to>
        <xdr:pic>
          <xdr:nvPicPr>
            <xdr:cNvPr id="168668" name="Picture 119516"/>
            <xdr:cNvPicPr>
              <a:picLocks noChangeArrowheads="1"/>
              <a:extLst>
                <a:ext uri="{84589F7E-364E-4C9E-8A38-B11213B215E9}">
                  <a14:cameraTool cellRange="DADOS!A51:W59" spid="_x0000_s168948"/>
                </a:ext>
              </a:extLst>
            </xdr:cNvPicPr>
          </xdr:nvPicPr>
          <xdr:blipFill>
            <a:blip xmlns:r="http://schemas.openxmlformats.org/officeDocument/2006/relationships" r:embed="rId3"/>
            <a:srcRect l="48335"/>
            <a:stretch>
              <a:fillRect/>
            </a:stretch>
          </xdr:blipFill>
          <xdr:spPr bwMode="auto">
            <a:xfrm>
              <a:off x="36099750" y="7810500"/>
              <a:ext cx="6076950" cy="8001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pageSetUpPr fitToPage="1"/>
  </sheetPr>
  <dimension ref="A1:Y277"/>
  <sheetViews>
    <sheetView showGridLines="0" topLeftCell="D11" zoomScaleSheetLayoutView="100" workbookViewId="0">
      <selection activeCell="X31" sqref="X31"/>
    </sheetView>
  </sheetViews>
  <sheetFormatPr defaultRowHeight="12.75" x14ac:dyDescent="0.2"/>
  <cols>
    <col min="1" max="2" width="8.7109375" style="12" customWidth="1"/>
    <col min="3" max="5" width="8.7109375" style="1" customWidth="1"/>
    <col min="6" max="8" width="8.7109375" style="11" customWidth="1"/>
    <col min="9" max="24" width="8.7109375" style="1" customWidth="1"/>
    <col min="25" max="16384" width="9.140625" style="1"/>
  </cols>
  <sheetData>
    <row r="1" spans="1:25" ht="12.75" customHeight="1" x14ac:dyDescent="0.2">
      <c r="A1" s="302" t="s">
        <v>123</v>
      </c>
      <c r="B1" s="302"/>
      <c r="C1" s="302"/>
      <c r="D1" s="302"/>
      <c r="E1" s="302"/>
      <c r="F1" s="302"/>
      <c r="G1" s="302"/>
      <c r="H1" s="302"/>
      <c r="I1" s="302"/>
      <c r="J1" s="302"/>
      <c r="K1" s="302"/>
      <c r="L1" s="302"/>
      <c r="M1" s="302"/>
      <c r="N1" s="302"/>
      <c r="O1" s="302"/>
      <c r="P1" s="302"/>
      <c r="Q1" s="302"/>
      <c r="R1" s="302"/>
      <c r="S1" s="302"/>
      <c r="T1" s="302"/>
      <c r="U1" s="302"/>
      <c r="V1" s="302"/>
      <c r="W1" s="302"/>
      <c r="X1" s="302"/>
    </row>
    <row r="2" spans="1:25" ht="13.5" customHeight="1" x14ac:dyDescent="0.2">
      <c r="A2" s="302"/>
      <c r="B2" s="302"/>
      <c r="C2" s="302"/>
      <c r="D2" s="302"/>
      <c r="E2" s="302"/>
      <c r="F2" s="302"/>
      <c r="G2" s="302"/>
      <c r="H2" s="302"/>
      <c r="I2" s="302"/>
      <c r="J2" s="302"/>
      <c r="K2" s="302"/>
      <c r="L2" s="302"/>
      <c r="M2" s="302"/>
      <c r="N2" s="302"/>
      <c r="O2" s="302"/>
      <c r="P2" s="302"/>
      <c r="Q2" s="302"/>
      <c r="R2" s="302"/>
      <c r="S2" s="302"/>
      <c r="T2" s="302"/>
      <c r="U2" s="302"/>
      <c r="V2" s="302"/>
      <c r="W2" s="302"/>
      <c r="X2" s="302"/>
    </row>
    <row r="3" spans="1:25" customFormat="1" ht="13.5" customHeight="1" x14ac:dyDescent="0.2"/>
    <row r="4" spans="1:25" s="38" customFormat="1" ht="12.75" customHeight="1" x14ac:dyDescent="0.2">
      <c r="A4" s="303" t="s">
        <v>38</v>
      </c>
      <c r="B4" s="303"/>
      <c r="C4" s="303"/>
      <c r="D4" s="303"/>
      <c r="E4" s="303"/>
      <c r="F4" s="303"/>
      <c r="G4" s="303"/>
      <c r="H4" s="303"/>
      <c r="I4" s="303"/>
      <c r="J4" s="303"/>
      <c r="K4" s="303"/>
      <c r="L4" s="303"/>
      <c r="M4" s="303"/>
      <c r="N4" s="303"/>
      <c r="O4" s="303"/>
      <c r="P4" s="303"/>
      <c r="Q4" s="303"/>
      <c r="R4" s="303"/>
      <c r="S4" s="303"/>
      <c r="T4" s="303"/>
      <c r="U4" s="303"/>
      <c r="V4" s="303"/>
      <c r="W4" s="303"/>
      <c r="X4" s="303"/>
    </row>
    <row r="5" spans="1:25" s="38" customFormat="1" x14ac:dyDescent="0.2">
      <c r="A5" s="39"/>
      <c r="B5" s="39"/>
      <c r="F5" s="40"/>
      <c r="G5" s="40"/>
      <c r="H5" s="40"/>
    </row>
    <row r="6" spans="1:25" s="39" customFormat="1" ht="12.75" customHeight="1" x14ac:dyDescent="0.2">
      <c r="A6" s="292" t="s">
        <v>165</v>
      </c>
      <c r="B6" s="293"/>
      <c r="C6" s="293"/>
      <c r="D6" s="293"/>
      <c r="E6" s="293"/>
      <c r="F6" s="293"/>
      <c r="G6" s="293"/>
      <c r="H6" s="293"/>
      <c r="I6" s="293"/>
      <c r="J6" s="293"/>
      <c r="K6" s="293"/>
      <c r="L6" s="293"/>
      <c r="M6" s="293"/>
      <c r="N6" s="293"/>
      <c r="O6" s="293"/>
      <c r="P6" s="293"/>
      <c r="Q6" s="293"/>
      <c r="R6" s="293"/>
      <c r="S6" s="293"/>
      <c r="T6" s="293"/>
      <c r="U6" s="293"/>
      <c r="V6" s="293"/>
      <c r="W6" s="293"/>
      <c r="X6" s="293"/>
    </row>
    <row r="7" spans="1:25" s="38" customFormat="1" ht="12.75" customHeight="1" x14ac:dyDescent="0.2">
      <c r="A7" s="39"/>
      <c r="B7" s="39"/>
      <c r="F7" s="40"/>
      <c r="G7" s="40"/>
      <c r="H7" s="40"/>
    </row>
    <row r="8" spans="1:25" s="38" customFormat="1" ht="12.75" customHeight="1" x14ac:dyDescent="0.2">
      <c r="A8" s="293" t="s">
        <v>166</v>
      </c>
      <c r="B8" s="293"/>
      <c r="C8" s="293"/>
      <c r="D8" s="293"/>
      <c r="E8" s="293"/>
      <c r="F8" s="293"/>
      <c r="G8" s="293"/>
      <c r="H8" s="293"/>
      <c r="I8" s="293"/>
      <c r="J8" s="293"/>
      <c r="K8" s="293"/>
      <c r="L8" s="293"/>
      <c r="M8" s="293"/>
      <c r="N8" s="293"/>
      <c r="O8" s="293"/>
      <c r="P8" s="293"/>
      <c r="Q8" s="293"/>
      <c r="R8" s="293"/>
      <c r="S8" s="293"/>
      <c r="T8" s="293"/>
      <c r="U8" s="293"/>
      <c r="V8" s="293"/>
      <c r="W8" s="293"/>
      <c r="X8" s="293"/>
      <c r="Y8" s="41"/>
    </row>
    <row r="9" spans="1:25" s="38" customFormat="1" ht="6" customHeight="1" x14ac:dyDescent="0.2">
      <c r="A9" s="124"/>
      <c r="B9" s="124"/>
      <c r="C9" s="124"/>
      <c r="D9" s="124"/>
      <c r="E9" s="124"/>
      <c r="F9" s="124"/>
      <c r="G9" s="124"/>
      <c r="H9" s="124"/>
      <c r="I9" s="124"/>
      <c r="J9" s="124"/>
      <c r="K9" s="124"/>
      <c r="L9" s="124"/>
      <c r="M9" s="124"/>
      <c r="N9" s="124"/>
      <c r="O9" s="124"/>
      <c r="P9" s="124"/>
      <c r="Q9" s="124"/>
      <c r="R9" s="124"/>
      <c r="S9" s="124"/>
      <c r="T9" s="124"/>
      <c r="U9" s="124"/>
      <c r="V9" s="124"/>
      <c r="W9" s="124"/>
      <c r="X9" s="124"/>
      <c r="Y9" s="41"/>
    </row>
    <row r="10" spans="1:25" s="38" customFormat="1" ht="12.75" customHeight="1" x14ac:dyDescent="0.2">
      <c r="A10" s="304" t="s">
        <v>39</v>
      </c>
      <c r="B10" s="304"/>
      <c r="C10" s="304"/>
      <c r="D10" s="304"/>
      <c r="E10" s="304"/>
      <c r="F10" s="304"/>
      <c r="G10" s="304"/>
      <c r="H10" s="304"/>
      <c r="I10" s="304"/>
      <c r="J10" s="304"/>
      <c r="K10" s="304"/>
      <c r="L10" s="304"/>
      <c r="M10" s="304"/>
      <c r="N10" s="304"/>
      <c r="O10" s="304"/>
      <c r="P10" s="304"/>
      <c r="Q10" s="304"/>
      <c r="R10" s="304"/>
      <c r="S10" s="304"/>
      <c r="T10" s="304"/>
      <c r="U10" s="304"/>
      <c r="V10" s="304"/>
      <c r="W10" s="304"/>
      <c r="X10" s="304"/>
    </row>
    <row r="11" spans="1:25" s="38" customFormat="1" ht="6" customHeight="1" x14ac:dyDescent="0.2">
      <c r="A11" s="125"/>
      <c r="B11" s="125"/>
      <c r="C11" s="125"/>
      <c r="D11" s="125"/>
      <c r="E11" s="125"/>
      <c r="F11" s="125"/>
      <c r="G11" s="125"/>
      <c r="H11" s="125"/>
      <c r="I11" s="125"/>
      <c r="J11" s="125"/>
      <c r="K11" s="125"/>
      <c r="L11" s="125"/>
      <c r="M11" s="125"/>
      <c r="N11" s="125"/>
      <c r="O11" s="125"/>
      <c r="P11" s="125"/>
      <c r="Q11" s="125"/>
      <c r="R11" s="125"/>
      <c r="S11" s="125"/>
      <c r="T11" s="125"/>
      <c r="U11" s="125"/>
      <c r="V11" s="125"/>
      <c r="W11" s="125"/>
      <c r="X11" s="125"/>
    </row>
    <row r="12" spans="1:25" s="38" customFormat="1" ht="24.95" customHeight="1" x14ac:dyDescent="0.2">
      <c r="A12" s="304" t="s">
        <v>122</v>
      </c>
      <c r="B12" s="304"/>
      <c r="C12" s="304"/>
      <c r="D12" s="304"/>
      <c r="E12" s="304"/>
      <c r="F12" s="304"/>
      <c r="G12" s="304"/>
      <c r="H12" s="304"/>
      <c r="I12" s="304"/>
      <c r="J12" s="304"/>
      <c r="K12" s="304"/>
      <c r="L12" s="304"/>
      <c r="M12" s="304"/>
      <c r="N12" s="304"/>
      <c r="O12" s="304"/>
      <c r="P12" s="304"/>
      <c r="Q12" s="304"/>
      <c r="R12" s="304"/>
      <c r="S12" s="304"/>
      <c r="T12" s="304"/>
      <c r="U12" s="304"/>
      <c r="V12" s="304"/>
      <c r="W12" s="304"/>
      <c r="X12" s="304"/>
    </row>
    <row r="13" spans="1:25" s="38" customFormat="1" x14ac:dyDescent="0.2">
      <c r="A13" s="39"/>
      <c r="B13" s="39"/>
      <c r="F13" s="40"/>
      <c r="G13" s="40"/>
      <c r="H13" s="40"/>
    </row>
    <row r="14" spans="1:25" s="38" customFormat="1" x14ac:dyDescent="0.2">
      <c r="A14" s="292" t="s">
        <v>167</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row>
    <row r="15" spans="1:25" s="38" customFormat="1" x14ac:dyDescent="0.2">
      <c r="A15" s="39"/>
      <c r="B15" s="39"/>
      <c r="F15" s="40"/>
      <c r="G15" s="40"/>
      <c r="H15" s="40"/>
    </row>
    <row r="16" spans="1:25" s="38" customFormat="1" x14ac:dyDescent="0.2">
      <c r="A16" s="294" t="s">
        <v>40</v>
      </c>
      <c r="B16" s="295"/>
      <c r="C16" s="295"/>
      <c r="D16" s="295"/>
      <c r="E16" s="295"/>
      <c r="F16" s="295"/>
      <c r="G16" s="295"/>
      <c r="H16" s="295"/>
      <c r="I16" s="295"/>
      <c r="J16" s="295"/>
      <c r="K16" s="295"/>
      <c r="L16" s="295"/>
      <c r="M16" s="295"/>
      <c r="N16" s="295"/>
      <c r="O16" s="295"/>
      <c r="P16" s="295"/>
      <c r="Q16" s="295"/>
      <c r="R16" s="295"/>
      <c r="S16" s="295"/>
      <c r="T16" s="295"/>
      <c r="U16" s="295"/>
      <c r="V16" s="295"/>
      <c r="W16" s="295"/>
      <c r="X16" s="295"/>
    </row>
    <row r="17" spans="1:24" s="38" customFormat="1" ht="6" customHeight="1" x14ac:dyDescent="0.2">
      <c r="A17" s="124"/>
      <c r="B17" s="124"/>
      <c r="C17" s="124"/>
      <c r="D17" s="124"/>
      <c r="E17" s="124"/>
      <c r="F17" s="124"/>
      <c r="G17" s="124"/>
      <c r="H17" s="124"/>
      <c r="I17" s="124"/>
      <c r="J17" s="124"/>
      <c r="K17" s="124"/>
      <c r="L17" s="124"/>
      <c r="M17" s="124"/>
      <c r="N17" s="124"/>
      <c r="O17" s="124"/>
      <c r="P17" s="124"/>
      <c r="Q17" s="124"/>
      <c r="R17" s="124"/>
      <c r="S17" s="124"/>
      <c r="T17" s="124"/>
      <c r="U17" s="124"/>
      <c r="V17" s="124"/>
      <c r="W17" s="124"/>
      <c r="X17" s="124"/>
    </row>
    <row r="18" spans="1:24" s="38" customFormat="1" ht="12.75" customHeight="1" x14ac:dyDescent="0.2">
      <c r="A18" s="276" t="s">
        <v>139</v>
      </c>
      <c r="B18" s="276"/>
      <c r="C18" s="277"/>
      <c r="D18" s="277"/>
      <c r="E18" s="277"/>
      <c r="F18" s="277"/>
      <c r="G18" s="277"/>
      <c r="H18" s="277"/>
      <c r="I18" s="277"/>
      <c r="J18" s="277"/>
      <c r="K18" s="277"/>
      <c r="L18" s="277"/>
      <c r="M18" s="277"/>
      <c r="N18" s="277"/>
      <c r="O18" s="277"/>
      <c r="P18" s="277"/>
      <c r="Q18" s="277"/>
      <c r="R18" s="277"/>
      <c r="S18" s="277"/>
      <c r="T18" s="277"/>
      <c r="U18" s="277"/>
      <c r="V18" s="277"/>
      <c r="W18" s="277"/>
      <c r="X18" s="277"/>
    </row>
    <row r="19" spans="1:24" s="38" customFormat="1" ht="6" customHeight="1" x14ac:dyDescent="0.2">
      <c r="A19" s="126"/>
      <c r="B19" s="126"/>
      <c r="C19" s="127"/>
      <c r="D19" s="127"/>
      <c r="E19" s="127"/>
      <c r="F19" s="127"/>
      <c r="G19" s="127"/>
      <c r="H19" s="127"/>
      <c r="I19" s="127"/>
      <c r="J19" s="127"/>
      <c r="K19" s="127"/>
      <c r="L19" s="127"/>
      <c r="M19" s="127"/>
      <c r="N19" s="127"/>
      <c r="O19" s="127"/>
      <c r="P19" s="127"/>
      <c r="Q19" s="127"/>
      <c r="R19" s="127"/>
      <c r="S19" s="127"/>
      <c r="T19" s="127"/>
      <c r="U19" s="127"/>
      <c r="V19" s="127"/>
      <c r="W19" s="127"/>
      <c r="X19" s="127"/>
    </row>
    <row r="20" spans="1:24" s="38" customFormat="1" ht="12.75" customHeight="1" x14ac:dyDescent="0.2">
      <c r="A20" s="259" t="s">
        <v>140</v>
      </c>
      <c r="B20" s="259"/>
      <c r="C20" s="260"/>
      <c r="D20" s="260"/>
      <c r="E20" s="260"/>
      <c r="F20" s="260"/>
      <c r="G20" s="260"/>
      <c r="H20" s="260"/>
      <c r="I20" s="260"/>
      <c r="J20" s="260"/>
      <c r="K20" s="260"/>
      <c r="L20" s="260"/>
      <c r="M20" s="260"/>
      <c r="N20" s="260"/>
      <c r="O20" s="260"/>
      <c r="P20" s="260"/>
      <c r="Q20" s="260"/>
      <c r="R20" s="260"/>
      <c r="S20" s="260"/>
      <c r="T20" s="260"/>
      <c r="U20" s="260"/>
      <c r="V20" s="260"/>
      <c r="W20" s="260"/>
      <c r="X20" s="260"/>
    </row>
    <row r="21" spans="1:24" s="38" customFormat="1" ht="6" customHeight="1" x14ac:dyDescent="0.2">
      <c r="A21" s="42"/>
      <c r="B21" s="42"/>
      <c r="F21" s="40"/>
      <c r="G21" s="40"/>
      <c r="H21" s="40"/>
    </row>
    <row r="22" spans="1:24" ht="12.75" customHeight="1" x14ac:dyDescent="0.2">
      <c r="A22" s="236" t="s">
        <v>16</v>
      </c>
      <c r="B22" s="238"/>
      <c r="C22" s="236" t="s">
        <v>138</v>
      </c>
      <c r="D22" s="238"/>
      <c r="E22" s="236" t="s">
        <v>10</v>
      </c>
      <c r="F22" s="237"/>
      <c r="G22" s="238"/>
      <c r="H22" s="236" t="s">
        <v>41</v>
      </c>
      <c r="I22" s="237"/>
      <c r="J22" s="237"/>
      <c r="K22" s="238"/>
      <c r="L22" s="236" t="s">
        <v>42</v>
      </c>
      <c r="M22" s="237"/>
      <c r="N22" s="237"/>
      <c r="O22" s="237"/>
      <c r="P22" s="238"/>
      <c r="Q22" s="236" t="s">
        <v>43</v>
      </c>
      <c r="R22" s="237"/>
      <c r="S22" s="237"/>
      <c r="T22" s="237"/>
      <c r="U22" s="237"/>
      <c r="V22" s="238"/>
      <c r="W22" s="267" t="s">
        <v>145</v>
      </c>
      <c r="X22" s="268"/>
    </row>
    <row r="23" spans="1:24" ht="12.75" customHeight="1" x14ac:dyDescent="0.2">
      <c r="A23" s="248"/>
      <c r="B23" s="282"/>
      <c r="C23" s="281"/>
      <c r="D23" s="282"/>
      <c r="E23" s="296" t="s">
        <v>94</v>
      </c>
      <c r="F23" s="297"/>
      <c r="G23" s="298"/>
      <c r="H23" s="281"/>
      <c r="I23" s="288"/>
      <c r="J23" s="288"/>
      <c r="K23" s="282"/>
      <c r="L23" s="281"/>
      <c r="M23" s="288"/>
      <c r="N23" s="288"/>
      <c r="O23" s="288"/>
      <c r="P23" s="282"/>
      <c r="Q23" s="248" t="s">
        <v>330</v>
      </c>
      <c r="R23" s="288"/>
      <c r="S23" s="288"/>
      <c r="T23" s="288"/>
      <c r="U23" s="288"/>
      <c r="V23" s="282"/>
      <c r="W23" s="246">
        <v>42963</v>
      </c>
      <c r="X23" s="247"/>
    </row>
    <row r="24" spans="1:24" ht="6" customHeight="1" x14ac:dyDescent="0.2">
      <c r="A24" s="3"/>
      <c r="B24" s="3"/>
      <c r="C24" s="3"/>
      <c r="D24" s="3"/>
      <c r="E24" s="3"/>
      <c r="F24" s="3"/>
      <c r="G24" s="3"/>
      <c r="H24" s="3"/>
      <c r="I24" s="3"/>
      <c r="J24" s="3"/>
      <c r="K24" s="3"/>
      <c r="L24" s="3"/>
      <c r="M24" s="3"/>
      <c r="N24" s="3"/>
      <c r="O24" s="3"/>
      <c r="P24" s="3"/>
      <c r="Q24" s="3"/>
      <c r="R24" s="3"/>
      <c r="S24" s="3"/>
      <c r="T24" s="3"/>
      <c r="U24" s="3"/>
      <c r="V24" s="3"/>
      <c r="W24"/>
      <c r="X24"/>
    </row>
    <row r="25" spans="1:24" x14ac:dyDescent="0.2">
      <c r="A25" s="236" t="s">
        <v>45</v>
      </c>
      <c r="B25" s="237"/>
      <c r="C25" s="237"/>
      <c r="D25" s="237"/>
      <c r="E25" s="237"/>
      <c r="F25" s="237"/>
      <c r="G25" s="238"/>
      <c r="H25" s="236" t="s">
        <v>46</v>
      </c>
      <c r="I25" s="237"/>
      <c r="J25" s="237"/>
      <c r="K25" s="238"/>
      <c r="L25" s="236" t="s">
        <v>47</v>
      </c>
      <c r="M25" s="237"/>
      <c r="N25" s="237"/>
      <c r="O25" s="237"/>
      <c r="P25" s="238"/>
      <c r="Q25" s="236" t="s">
        <v>48</v>
      </c>
      <c r="R25" s="237"/>
      <c r="S25" s="237"/>
      <c r="T25" s="237"/>
      <c r="U25" s="237"/>
      <c r="V25" s="237"/>
      <c r="W25" s="237"/>
      <c r="X25" s="238"/>
    </row>
    <row r="26" spans="1:24" x14ac:dyDescent="0.2">
      <c r="A26" s="285" t="s">
        <v>332</v>
      </c>
      <c r="B26" s="286"/>
      <c r="C26" s="286"/>
      <c r="D26" s="286"/>
      <c r="E26" s="286"/>
      <c r="F26" s="286"/>
      <c r="G26" s="287"/>
      <c r="H26" s="248" t="s">
        <v>333</v>
      </c>
      <c r="I26" s="288"/>
      <c r="J26" s="288"/>
      <c r="K26" s="282"/>
      <c r="L26" s="248" t="s">
        <v>338</v>
      </c>
      <c r="M26" s="288"/>
      <c r="N26" s="288"/>
      <c r="O26" s="288"/>
      <c r="P26" s="282"/>
      <c r="Q26" s="248" t="s">
        <v>339</v>
      </c>
      <c r="R26" s="288"/>
      <c r="S26" s="288"/>
      <c r="T26" s="288"/>
      <c r="U26" s="288"/>
      <c r="V26" s="288"/>
      <c r="W26" s="288"/>
      <c r="X26" s="282"/>
    </row>
    <row r="27" spans="1:24" s="38" customFormat="1" ht="9" customHeight="1" x14ac:dyDescent="0.2">
      <c r="A27" s="39"/>
      <c r="B27" s="39"/>
      <c r="F27" s="40"/>
      <c r="G27" s="40"/>
      <c r="H27" s="40"/>
    </row>
    <row r="28" spans="1:24" s="38" customFormat="1" x14ac:dyDescent="0.2">
      <c r="A28" s="259" t="s">
        <v>269</v>
      </c>
      <c r="B28" s="259"/>
      <c r="C28" s="260"/>
      <c r="D28" s="260"/>
      <c r="E28" s="260"/>
      <c r="F28" s="260"/>
      <c r="G28" s="260"/>
      <c r="H28" s="260"/>
      <c r="I28" s="260"/>
      <c r="J28" s="260"/>
      <c r="K28" s="260"/>
      <c r="L28" s="260"/>
      <c r="M28" s="260"/>
      <c r="N28" s="260"/>
      <c r="O28" s="260"/>
      <c r="P28" s="260"/>
      <c r="Q28" s="260"/>
      <c r="R28" s="260"/>
      <c r="S28" s="260"/>
      <c r="T28" s="260"/>
      <c r="U28" s="260"/>
      <c r="V28" s="260"/>
      <c r="W28" s="260"/>
      <c r="X28" s="260"/>
    </row>
    <row r="29" spans="1:24" s="38" customFormat="1" ht="6" customHeight="1" x14ac:dyDescent="0.2">
      <c r="A29" s="39"/>
      <c r="B29" s="39"/>
      <c r="F29" s="40"/>
      <c r="G29" s="40"/>
      <c r="H29" s="40"/>
    </row>
    <row r="30" spans="1:24" s="38" customFormat="1" x14ac:dyDescent="0.2">
      <c r="A30" s="195" t="s">
        <v>270</v>
      </c>
      <c r="B30" s="196"/>
      <c r="C30" s="196"/>
      <c r="D30" s="197"/>
      <c r="E30"/>
      <c r="F30"/>
      <c r="G30" s="4"/>
      <c r="H30"/>
      <c r="I30"/>
      <c r="J30"/>
      <c r="K30"/>
      <c r="L30"/>
      <c r="M30"/>
      <c r="N30"/>
      <c r="O30"/>
      <c r="P30"/>
      <c r="Q30"/>
      <c r="R30"/>
      <c r="S30"/>
      <c r="T30"/>
      <c r="U30"/>
      <c r="V30"/>
      <c r="W30"/>
      <c r="X30"/>
    </row>
    <row r="31" spans="1:24" s="38" customFormat="1" x14ac:dyDescent="0.2">
      <c r="A31" s="299" t="s">
        <v>227</v>
      </c>
      <c r="B31" s="300"/>
      <c r="C31" s="300"/>
      <c r="D31" s="301"/>
      <c r="E31"/>
      <c r="F31"/>
      <c r="G31"/>
      <c r="H31"/>
      <c r="I31"/>
      <c r="J31"/>
      <c r="K31"/>
      <c r="L31"/>
      <c r="M31"/>
      <c r="N31"/>
      <c r="O31"/>
      <c r="P31"/>
      <c r="Q31"/>
      <c r="R31"/>
      <c r="S31"/>
      <c r="T31"/>
      <c r="U31"/>
      <c r="V31"/>
      <c r="W31"/>
      <c r="X31"/>
    </row>
    <row r="32" spans="1:24" s="47" customFormat="1" x14ac:dyDescent="0.2"/>
    <row r="33" spans="1:24" s="38" customFormat="1" ht="12.75" customHeight="1" x14ac:dyDescent="0.2">
      <c r="A33" s="259" t="s">
        <v>271</v>
      </c>
      <c r="B33" s="259"/>
      <c r="C33" s="260"/>
      <c r="D33" s="260"/>
      <c r="E33" s="260"/>
      <c r="F33" s="260"/>
      <c r="G33" s="260"/>
      <c r="H33" s="260"/>
      <c r="I33" s="260"/>
      <c r="J33" s="260"/>
      <c r="K33" s="260"/>
      <c r="L33" s="260"/>
      <c r="M33" s="260"/>
      <c r="N33" s="260"/>
      <c r="O33" s="260"/>
      <c r="P33" s="260"/>
      <c r="Q33" s="260"/>
      <c r="R33" s="260"/>
      <c r="S33" s="260"/>
      <c r="T33" s="260"/>
      <c r="U33" s="260"/>
      <c r="V33" s="260"/>
      <c r="W33" s="260"/>
      <c r="X33" s="260"/>
    </row>
    <row r="34" spans="1:24" s="38" customFormat="1" ht="6" customHeight="1" x14ac:dyDescent="0.2">
      <c r="A34" s="46"/>
      <c r="B34" s="46"/>
      <c r="C34" s="52"/>
      <c r="D34" s="52"/>
      <c r="E34" s="52"/>
      <c r="F34" s="52"/>
      <c r="G34" s="52"/>
      <c r="H34" s="52"/>
      <c r="I34" s="52"/>
      <c r="J34" s="52"/>
      <c r="K34" s="52"/>
      <c r="L34" s="52"/>
      <c r="M34" s="52"/>
      <c r="N34" s="52"/>
      <c r="O34" s="52"/>
      <c r="P34" s="52"/>
      <c r="Q34" s="52"/>
      <c r="R34" s="52"/>
      <c r="S34" s="52"/>
      <c r="T34" s="52"/>
      <c r="U34" s="52"/>
      <c r="V34" s="52"/>
      <c r="W34" s="52"/>
      <c r="X34" s="52"/>
    </row>
    <row r="35" spans="1:24" s="38" customFormat="1" ht="12.75" customHeight="1" x14ac:dyDescent="0.2">
      <c r="A35" s="236" t="s">
        <v>146</v>
      </c>
      <c r="B35" s="238"/>
      <c r="C35" s="195" t="s">
        <v>266</v>
      </c>
      <c r="D35" s="236" t="s">
        <v>143</v>
      </c>
      <c r="E35" s="237"/>
      <c r="F35" s="238"/>
      <c r="G35" s="236" t="s">
        <v>141</v>
      </c>
      <c r="H35" s="237"/>
      <c r="I35" s="237"/>
      <c r="J35" s="237"/>
      <c r="K35" s="237"/>
      <c r="L35" s="237"/>
      <c r="M35" s="237"/>
      <c r="N35" s="237"/>
      <c r="O35" s="237"/>
      <c r="P35" s="237"/>
      <c r="Q35" s="237"/>
      <c r="R35" s="237"/>
      <c r="S35" s="238"/>
      <c r="T35" s="198" t="s">
        <v>133</v>
      </c>
      <c r="U35" s="198" t="s">
        <v>134</v>
      </c>
      <c r="V35" s="198" t="s">
        <v>135</v>
      </c>
      <c r="W35" s="198" t="s">
        <v>136</v>
      </c>
      <c r="X35" s="198" t="s">
        <v>137</v>
      </c>
    </row>
    <row r="36" spans="1:24" s="38" customFormat="1" ht="12.75" customHeight="1" x14ac:dyDescent="0.2">
      <c r="A36" s="246">
        <v>42293</v>
      </c>
      <c r="B36" s="247"/>
      <c r="C36" s="194" t="s">
        <v>258</v>
      </c>
      <c r="D36" s="248" t="s">
        <v>231</v>
      </c>
      <c r="E36" s="249"/>
      <c r="F36" s="250"/>
      <c r="G36" s="248"/>
      <c r="H36" s="249"/>
      <c r="I36" s="249"/>
      <c r="J36" s="249"/>
      <c r="K36" s="249"/>
      <c r="L36" s="249"/>
      <c r="M36" s="249"/>
      <c r="N36" s="249"/>
      <c r="O36" s="249"/>
      <c r="P36" s="249"/>
      <c r="Q36" s="249"/>
      <c r="R36" s="249"/>
      <c r="S36" s="250"/>
      <c r="T36" s="199">
        <f ca="1">IF(ISERROR(INDIRECT("'BDI ("&amp;RIGHT(T35,1)&amp;")'!N27")),"",INDIRECT("'BDI ("&amp;RIGHT(T35,1)&amp;")'!N27"))</f>
        <v>0.24229999999999999</v>
      </c>
      <c r="U36" s="200" t="str">
        <f ca="1">IF(ISERROR(INDIRECT("'BDI ("&amp;RIGHT(U35,1)&amp;")'!N27")),"",INDIRECT("'BDI ("&amp;RIGHT(U35,1)&amp;")'!N27"))</f>
        <v/>
      </c>
      <c r="V36" s="200" t="str">
        <f ca="1">IF(ISERROR(INDIRECT("'BDI ("&amp;RIGHT(V35,1)&amp;")'!N27")),"",INDIRECT("'BDI ("&amp;RIGHT(V35,1)&amp;")'!N27"))</f>
        <v/>
      </c>
      <c r="W36" s="200" t="str">
        <f ca="1">IF(ISERROR(INDIRECT("'BDI ("&amp;RIGHT(W35,1)&amp;")'!N27")),"",INDIRECT("'BDI ("&amp;RIGHT(W35,1)&amp;")'!N27"))</f>
        <v/>
      </c>
      <c r="X36" s="200" t="str">
        <f ca="1">IF(ISERROR(INDIRECT("'BDI ("&amp;RIGHT(X35,1)&amp;")'!N27")),"",INDIRECT("'BDI ("&amp;RIGHT(X35,1)&amp;")'!N27"))</f>
        <v/>
      </c>
    </row>
    <row r="37" spans="1:24" s="38" customFormat="1" ht="11.25" customHeight="1" x14ac:dyDescent="0.2">
      <c r="A37" s="46"/>
      <c r="B37" s="46"/>
      <c r="C37" s="52"/>
      <c r="D37" s="52"/>
      <c r="E37" s="52"/>
      <c r="F37" s="52"/>
      <c r="G37" s="52"/>
      <c r="H37" s="52"/>
      <c r="I37" s="52"/>
      <c r="J37" s="52"/>
      <c r="K37" s="52"/>
      <c r="L37" s="52"/>
      <c r="M37" s="52"/>
      <c r="N37" s="52"/>
      <c r="O37" s="52"/>
      <c r="P37" s="52"/>
      <c r="Q37" s="52"/>
      <c r="R37" s="52"/>
      <c r="S37" s="52"/>
      <c r="T37" s="52"/>
      <c r="U37" s="52"/>
      <c r="V37" s="52"/>
      <c r="W37" s="52"/>
      <c r="X37" s="52"/>
    </row>
    <row r="38" spans="1:24" s="38" customFormat="1" ht="12.75" hidden="1" customHeight="1" x14ac:dyDescent="0.2">
      <c r="A38" s="259" t="s">
        <v>272</v>
      </c>
      <c r="B38" s="259"/>
      <c r="C38" s="260"/>
      <c r="D38" s="260"/>
      <c r="E38" s="260"/>
      <c r="F38" s="260"/>
      <c r="G38" s="260"/>
      <c r="H38" s="260"/>
      <c r="I38" s="260"/>
      <c r="J38" s="260"/>
      <c r="K38" s="260"/>
      <c r="L38" s="260"/>
      <c r="M38" s="260"/>
      <c r="N38" s="260"/>
      <c r="O38" s="260"/>
      <c r="P38" s="260"/>
      <c r="Q38" s="260"/>
      <c r="R38" s="260"/>
      <c r="S38" s="260"/>
      <c r="T38" s="260"/>
      <c r="U38" s="260"/>
      <c r="V38" s="260"/>
      <c r="W38" s="260"/>
      <c r="X38" s="260"/>
    </row>
    <row r="39" spans="1:24" s="38" customFormat="1" ht="6" hidden="1" customHeight="1" x14ac:dyDescent="0.2">
      <c r="A39" s="46"/>
      <c r="B39" s="46"/>
      <c r="C39" s="52"/>
      <c r="D39" s="52"/>
      <c r="E39" s="52"/>
      <c r="F39" s="52"/>
      <c r="G39" s="52"/>
      <c r="H39" s="52"/>
      <c r="I39" s="52"/>
      <c r="J39" s="52"/>
      <c r="K39" s="52"/>
      <c r="L39" s="52"/>
      <c r="M39" s="52"/>
      <c r="N39" s="52"/>
      <c r="O39" s="52"/>
      <c r="P39" s="52"/>
      <c r="Q39" s="52"/>
      <c r="R39" s="52"/>
      <c r="S39" s="52"/>
      <c r="T39" s="52"/>
      <c r="U39" s="52"/>
      <c r="V39" s="52"/>
      <c r="W39" s="52"/>
      <c r="X39" s="52"/>
    </row>
    <row r="40" spans="1:24" s="38" customFormat="1" ht="12.75" hidden="1" customHeight="1" x14ac:dyDescent="0.2">
      <c r="A40" s="236" t="s">
        <v>260</v>
      </c>
      <c r="B40" s="238"/>
      <c r="C40" s="236" t="s">
        <v>261</v>
      </c>
      <c r="D40" s="237"/>
      <c r="E40" s="237"/>
      <c r="F40" s="237"/>
      <c r="G40" s="237"/>
      <c r="H40" s="236" t="s">
        <v>263</v>
      </c>
      <c r="I40" s="237"/>
      <c r="J40" s="48" t="s">
        <v>266</v>
      </c>
      <c r="K40" s="236" t="s">
        <v>262</v>
      </c>
      <c r="L40" s="237"/>
      <c r="M40" s="238"/>
      <c r="N40" s="48" t="s">
        <v>267</v>
      </c>
      <c r="O40" s="236" t="s">
        <v>268</v>
      </c>
      <c r="P40" s="237"/>
      <c r="Q40" s="237"/>
      <c r="R40" s="237"/>
      <c r="S40" s="237"/>
      <c r="T40" s="238"/>
      <c r="U40" s="239" t="s">
        <v>264</v>
      </c>
      <c r="V40" s="240"/>
      <c r="W40" s="239" t="s">
        <v>265</v>
      </c>
      <c r="X40" s="240"/>
    </row>
    <row r="41" spans="1:24" s="38" customFormat="1" ht="12.75" hidden="1" customHeight="1" x14ac:dyDescent="0.2">
      <c r="A41" s="248"/>
      <c r="B41" s="250"/>
      <c r="C41" s="248"/>
      <c r="D41" s="249"/>
      <c r="E41" s="249"/>
      <c r="F41" s="249"/>
      <c r="G41" s="249"/>
      <c r="H41" s="251"/>
      <c r="I41" s="252"/>
      <c r="J41" s="191" t="s">
        <v>258</v>
      </c>
      <c r="K41" s="261"/>
      <c r="L41" s="262"/>
      <c r="M41" s="263"/>
      <c r="N41" s="202"/>
      <c r="O41" s="251"/>
      <c r="P41" s="252"/>
      <c r="Q41" s="252"/>
      <c r="R41" s="257"/>
      <c r="S41" s="257"/>
      <c r="T41" s="258"/>
      <c r="U41" s="274"/>
      <c r="V41" s="275"/>
      <c r="W41" s="272"/>
      <c r="X41" s="273"/>
    </row>
    <row r="42" spans="1:24" s="38" customFormat="1" ht="12.75" hidden="1" customHeight="1" x14ac:dyDescent="0.2">
      <c r="A42" s="46"/>
      <c r="B42" s="46"/>
      <c r="C42" s="52"/>
      <c r="D42" s="52"/>
      <c r="E42" s="52"/>
      <c r="F42" s="52"/>
      <c r="G42" s="52"/>
      <c r="H42" s="52"/>
      <c r="I42" s="52"/>
      <c r="J42" s="52"/>
      <c r="K42" s="52"/>
      <c r="L42" s="52"/>
      <c r="M42" s="52"/>
      <c r="N42" s="52"/>
      <c r="O42" s="52"/>
      <c r="P42" s="52"/>
      <c r="Q42" s="52"/>
      <c r="R42" s="52"/>
      <c r="S42" s="52"/>
      <c r="T42" s="52"/>
      <c r="U42" s="52"/>
      <c r="V42" s="52"/>
      <c r="W42" s="52"/>
      <c r="X42" s="52"/>
    </row>
    <row r="43" spans="1:24" s="38" customFormat="1" ht="12.75" customHeight="1" x14ac:dyDescent="0.2">
      <c r="A43" s="259" t="s">
        <v>168</v>
      </c>
      <c r="B43" s="259"/>
      <c r="C43" s="260"/>
      <c r="D43" s="260"/>
      <c r="E43" s="260"/>
      <c r="F43" s="260"/>
      <c r="G43" s="260"/>
      <c r="H43" s="260"/>
      <c r="I43" s="260"/>
      <c r="J43" s="260"/>
      <c r="K43" s="260"/>
      <c r="L43" s="260"/>
      <c r="M43" s="260"/>
      <c r="N43" s="260"/>
      <c r="O43" s="260"/>
      <c r="P43" s="260"/>
      <c r="Q43" s="260"/>
      <c r="R43" s="260"/>
      <c r="S43" s="260"/>
      <c r="T43" s="260"/>
      <c r="U43" s="260"/>
      <c r="V43" s="260"/>
      <c r="W43" s="260"/>
      <c r="X43" s="260"/>
    </row>
    <row r="44" spans="1:24" s="38" customFormat="1" ht="6" customHeight="1" x14ac:dyDescent="0.2">
      <c r="A44" s="46"/>
      <c r="B44" s="46"/>
      <c r="C44" s="52"/>
      <c r="D44" s="52"/>
      <c r="E44" s="52"/>
      <c r="F44" s="52"/>
      <c r="G44" s="52"/>
      <c r="H44" s="52"/>
      <c r="I44" s="52"/>
      <c r="J44" s="52"/>
      <c r="K44" s="52"/>
      <c r="L44" s="52"/>
      <c r="M44" s="52"/>
      <c r="N44" s="52"/>
      <c r="O44" s="52"/>
      <c r="P44" s="52"/>
      <c r="Q44" s="52"/>
      <c r="R44" s="52"/>
      <c r="S44" s="52"/>
      <c r="T44" s="52"/>
      <c r="U44" s="52"/>
      <c r="V44" s="52"/>
      <c r="W44" s="52"/>
      <c r="X44" s="52"/>
    </row>
    <row r="45" spans="1:24" s="38" customFormat="1" x14ac:dyDescent="0.2">
      <c r="A45" s="48" t="s">
        <v>144</v>
      </c>
      <c r="B45" s="49"/>
      <c r="C45" s="50"/>
    </row>
    <row r="46" spans="1:24" s="38" customFormat="1" x14ac:dyDescent="0.2">
      <c r="A46" s="278"/>
      <c r="B46" s="279"/>
      <c r="C46" s="280"/>
      <c r="E46" s="59"/>
    </row>
    <row r="47" spans="1:24" s="38" customFormat="1" x14ac:dyDescent="0.2">
      <c r="A47" s="39"/>
      <c r="B47" s="39"/>
      <c r="F47" s="53" t="e">
        <f>DATE(YEAR(A46),MONTH(A46)+#REF!,1)</f>
        <v>#REF!</v>
      </c>
      <c r="G47" s="54" t="e">
        <f>IF(YEAR(F47)-FLOOR(YEAR(F47),4)=0,"SIM","NÃO")</f>
        <v>#REF!</v>
      </c>
      <c r="H47" s="55" t="e">
        <f>IF(AND(MONTH(F47)=2,G47="sim",OR(DAY(A46)=31,DAY(A46)=30)),29,IF(AND(MONTH(F47)=2,G47="não",OR(DAY(A46)=31,DAY(A46)=30,DAY(A46)=29)),28,IF(AND(DAY(A46)=31,OR(MONTH(F47)=4,MONTH(F47)=6,MONTH(F47)=9,MONTH(F47)=11)),30,DAY(A46))))</f>
        <v>#REF!</v>
      </c>
    </row>
    <row r="48" spans="1:24" s="38" customFormat="1" x14ac:dyDescent="0.2">
      <c r="A48" s="259" t="s">
        <v>215</v>
      </c>
      <c r="B48" s="259"/>
      <c r="C48" s="260"/>
      <c r="D48" s="260"/>
      <c r="E48" s="260"/>
      <c r="F48" s="260"/>
      <c r="G48" s="260"/>
      <c r="H48" s="260"/>
      <c r="I48" s="260"/>
      <c r="J48" s="260"/>
      <c r="K48" s="260"/>
      <c r="L48" s="260"/>
      <c r="M48" s="260"/>
      <c r="N48" s="260"/>
      <c r="O48" s="260"/>
      <c r="P48" s="260"/>
      <c r="Q48" s="260"/>
      <c r="R48" s="260"/>
      <c r="S48" s="260"/>
      <c r="T48" s="260"/>
      <c r="U48" s="260"/>
      <c r="V48" s="260"/>
      <c r="W48" s="260"/>
      <c r="X48" s="260"/>
    </row>
    <row r="49" spans="1:24" s="38" customFormat="1" x14ac:dyDescent="0.2">
      <c r="A49" s="46"/>
      <c r="B49" s="46"/>
      <c r="C49" s="52"/>
      <c r="D49" s="52"/>
      <c r="E49" s="52"/>
      <c r="F49" s="52"/>
      <c r="G49" s="52"/>
      <c r="H49" s="52"/>
      <c r="I49" s="52"/>
      <c r="J49" s="52"/>
      <c r="K49" s="52"/>
      <c r="L49" s="52"/>
      <c r="M49" s="52"/>
      <c r="N49" s="52"/>
      <c r="O49" s="52"/>
      <c r="P49" s="52"/>
      <c r="Q49" s="52"/>
      <c r="R49" s="52"/>
      <c r="S49" s="52"/>
      <c r="T49" s="52"/>
      <c r="U49" s="52"/>
      <c r="V49" s="52"/>
      <c r="W49" s="52"/>
      <c r="X49" s="52"/>
    </row>
    <row r="50" spans="1:24" s="38" customFormat="1" x14ac:dyDescent="0.2">
      <c r="A50" s="46"/>
      <c r="B50" s="46"/>
      <c r="C50" s="52"/>
      <c r="D50" s="52"/>
      <c r="E50" s="52"/>
      <c r="F50" s="52"/>
      <c r="G50" s="12" t="s">
        <v>154</v>
      </c>
      <c r="H50" s="52"/>
      <c r="I50" s="52"/>
      <c r="K50" s="188" t="s">
        <v>287</v>
      </c>
      <c r="L50" s="52"/>
      <c r="M50" s="12" t="s">
        <v>155</v>
      </c>
      <c r="N50" s="52"/>
      <c r="O50" s="52"/>
      <c r="Q50" s="188" t="s">
        <v>287</v>
      </c>
      <c r="R50" s="52"/>
      <c r="S50" s="12" t="s">
        <v>156</v>
      </c>
      <c r="T50" s="52"/>
      <c r="U50" s="52"/>
      <c r="W50" s="188" t="s">
        <v>329</v>
      </c>
      <c r="X50" s="52"/>
    </row>
    <row r="51" spans="1:24" s="38" customFormat="1" x14ac:dyDescent="0.2">
      <c r="A51" s="65"/>
      <c r="B51" s="65"/>
      <c r="C51" s="66"/>
      <c r="D51" s="66"/>
      <c r="E51" s="66"/>
      <c r="F51" s="53"/>
      <c r="G51" s="65"/>
      <c r="H51" s="65"/>
      <c r="I51" s="66"/>
      <c r="J51" s="66"/>
      <c r="K51" s="66"/>
      <c r="L51" s="2"/>
      <c r="M51" s="65"/>
      <c r="N51" s="65"/>
      <c r="O51" s="66"/>
      <c r="P51" s="66"/>
      <c r="Q51" s="66"/>
      <c r="R51" s="2"/>
      <c r="S51" s="65"/>
      <c r="T51" s="65"/>
      <c r="U51" s="66"/>
      <c r="V51" s="66"/>
      <c r="W51" s="66"/>
    </row>
    <row r="52" spans="1:24" s="38" customFormat="1" x14ac:dyDescent="0.2">
      <c r="A52" s="226" t="s">
        <v>2</v>
      </c>
      <c r="B52" s="289" t="s">
        <v>334</v>
      </c>
      <c r="C52" s="256"/>
      <c r="D52" s="256"/>
      <c r="E52" s="256"/>
      <c r="F52" s="53"/>
      <c r="G52" s="226" t="s">
        <v>2</v>
      </c>
      <c r="H52" s="256"/>
      <c r="I52" s="256"/>
      <c r="J52" s="256"/>
      <c r="K52" s="256"/>
      <c r="L52" s="2"/>
      <c r="M52" s="226" t="s">
        <v>2</v>
      </c>
      <c r="N52" s="256"/>
      <c r="O52" s="256"/>
      <c r="P52" s="256"/>
      <c r="Q52" s="256"/>
      <c r="R52" s="2"/>
      <c r="S52" s="226" t="s">
        <v>2</v>
      </c>
      <c r="T52" s="256"/>
      <c r="U52" s="256"/>
      <c r="V52" s="256"/>
      <c r="W52" s="256"/>
    </row>
    <row r="53" spans="1:24" s="38" customFormat="1" x14ac:dyDescent="0.2">
      <c r="A53" s="226" t="s">
        <v>152</v>
      </c>
      <c r="B53" s="256" t="s">
        <v>328</v>
      </c>
      <c r="C53" s="256"/>
      <c r="D53" s="256"/>
      <c r="E53" s="256"/>
      <c r="F53" s="53"/>
      <c r="G53" s="226" t="s">
        <v>152</v>
      </c>
      <c r="H53" s="256"/>
      <c r="I53" s="256"/>
      <c r="J53" s="256"/>
      <c r="K53" s="256"/>
      <c r="L53" s="2"/>
      <c r="M53" s="226" t="s">
        <v>152</v>
      </c>
      <c r="N53" s="256"/>
      <c r="O53" s="256"/>
      <c r="P53" s="256"/>
      <c r="Q53" s="256"/>
      <c r="R53" s="2"/>
      <c r="S53" s="226" t="s">
        <v>152</v>
      </c>
      <c r="T53" s="256"/>
      <c r="U53" s="256"/>
      <c r="V53" s="256"/>
      <c r="W53" s="256"/>
    </row>
    <row r="54" spans="1:24" s="38" customFormat="1" x14ac:dyDescent="0.2">
      <c r="A54" s="226" t="s">
        <v>288</v>
      </c>
      <c r="B54" s="289" t="s">
        <v>335</v>
      </c>
      <c r="C54" s="256"/>
      <c r="D54" s="256"/>
      <c r="E54" s="256"/>
      <c r="F54" s="53"/>
      <c r="G54" s="226" t="s">
        <v>288</v>
      </c>
      <c r="H54" s="256"/>
      <c r="I54" s="256"/>
      <c r="J54" s="256"/>
      <c r="K54" s="256"/>
      <c r="L54" s="2"/>
      <c r="M54" s="226" t="s">
        <v>288</v>
      </c>
      <c r="N54" s="256"/>
      <c r="O54" s="256"/>
      <c r="P54" s="256"/>
      <c r="Q54" s="256"/>
      <c r="R54" s="2"/>
      <c r="S54" s="226" t="s">
        <v>288</v>
      </c>
      <c r="T54" s="256"/>
      <c r="U54" s="256"/>
      <c r="V54" s="256"/>
      <c r="W54" s="256"/>
    </row>
    <row r="55" spans="1:24" s="38" customFormat="1" x14ac:dyDescent="0.2">
      <c r="A55" s="226" t="s">
        <v>289</v>
      </c>
      <c r="B55" s="256"/>
      <c r="C55" s="256"/>
      <c r="D55" s="256"/>
      <c r="E55" s="256"/>
      <c r="F55" s="53"/>
      <c r="G55" s="226" t="s">
        <v>289</v>
      </c>
      <c r="H55" s="256"/>
      <c r="I55" s="256"/>
      <c r="J55" s="256"/>
      <c r="K55" s="256"/>
      <c r="L55" s="2"/>
      <c r="M55" s="226" t="s">
        <v>289</v>
      </c>
      <c r="N55" s="256"/>
      <c r="O55" s="256"/>
      <c r="P55" s="256"/>
      <c r="Q55" s="256"/>
      <c r="R55" s="2"/>
      <c r="S55" s="226" t="s">
        <v>289</v>
      </c>
      <c r="T55" s="256"/>
      <c r="U55" s="256"/>
      <c r="V55" s="256"/>
      <c r="W55" s="256"/>
    </row>
    <row r="56" spans="1:24" s="38" customFormat="1" hidden="1" x14ac:dyDescent="0.2">
      <c r="A56" s="226" t="s">
        <v>2</v>
      </c>
      <c r="B56" s="256"/>
      <c r="C56" s="256"/>
      <c r="D56" s="256"/>
      <c r="E56" s="256"/>
      <c r="F56" s="53"/>
      <c r="G56" s="226" t="s">
        <v>2</v>
      </c>
      <c r="H56" s="289"/>
      <c r="I56" s="256"/>
      <c r="J56" s="256"/>
      <c r="K56" s="256"/>
      <c r="L56" s="2"/>
      <c r="M56" s="226" t="s">
        <v>2</v>
      </c>
      <c r="N56" s="256"/>
      <c r="O56" s="256"/>
      <c r="P56" s="256"/>
      <c r="Q56" s="256"/>
      <c r="R56" s="2"/>
      <c r="S56" s="226" t="s">
        <v>2</v>
      </c>
      <c r="T56" s="256"/>
      <c r="U56" s="256"/>
      <c r="V56" s="256"/>
      <c r="W56" s="256"/>
    </row>
    <row r="57" spans="1:24" s="38" customFormat="1" hidden="1" x14ac:dyDescent="0.2">
      <c r="A57" s="226" t="s">
        <v>205</v>
      </c>
      <c r="B57" s="289" t="s">
        <v>290</v>
      </c>
      <c r="C57" s="256"/>
      <c r="D57" s="256"/>
      <c r="E57" s="256"/>
      <c r="F57" s="53"/>
      <c r="G57" s="226" t="s">
        <v>205</v>
      </c>
      <c r="H57" s="256"/>
      <c r="I57" s="256"/>
      <c r="J57" s="256"/>
      <c r="K57" s="256"/>
      <c r="L57" s="2"/>
      <c r="M57" s="226" t="s">
        <v>205</v>
      </c>
      <c r="N57" s="256"/>
      <c r="O57" s="256"/>
      <c r="P57" s="256"/>
      <c r="Q57" s="256"/>
      <c r="R57" s="2"/>
      <c r="S57" s="226" t="s">
        <v>205</v>
      </c>
      <c r="T57" s="256"/>
      <c r="U57" s="256"/>
      <c r="V57" s="256"/>
      <c r="W57" s="256"/>
    </row>
    <row r="58" spans="1:24" s="38" customFormat="1" hidden="1" x14ac:dyDescent="0.2">
      <c r="A58" s="226" t="s">
        <v>291</v>
      </c>
      <c r="B58" s="256">
        <f>Import.Empresa</f>
        <v>0</v>
      </c>
      <c r="C58" s="256"/>
      <c r="D58" s="256"/>
      <c r="E58" s="256"/>
      <c r="F58" s="53"/>
      <c r="G58" s="226" t="s">
        <v>291</v>
      </c>
      <c r="H58" s="305"/>
      <c r="I58" s="305"/>
      <c r="J58" s="305"/>
      <c r="K58" s="305"/>
      <c r="L58" s="2"/>
      <c r="M58" s="226" t="s">
        <v>291</v>
      </c>
      <c r="N58" s="305"/>
      <c r="O58" s="305"/>
      <c r="P58" s="305"/>
      <c r="Q58" s="305"/>
      <c r="R58" s="2"/>
      <c r="S58" s="226" t="s">
        <v>291</v>
      </c>
      <c r="T58" s="305"/>
      <c r="U58" s="305"/>
      <c r="V58" s="305"/>
      <c r="W58" s="305"/>
    </row>
    <row r="59" spans="1:24" s="38" customFormat="1" hidden="1" x14ac:dyDescent="0.2">
      <c r="A59" s="226" t="s">
        <v>292</v>
      </c>
      <c r="B59" s="256">
        <f>Import.CNPJ</f>
        <v>0</v>
      </c>
      <c r="C59" s="256"/>
      <c r="D59" s="256"/>
      <c r="E59" s="256"/>
      <c r="F59" s="53"/>
      <c r="G59" s="226" t="s">
        <v>292</v>
      </c>
      <c r="H59" s="256"/>
      <c r="I59" s="256"/>
      <c r="J59" s="256"/>
      <c r="K59" s="256"/>
      <c r="L59" s="2"/>
      <c r="M59" s="226" t="s">
        <v>292</v>
      </c>
      <c r="N59" s="256"/>
      <c r="O59" s="256"/>
      <c r="P59" s="256"/>
      <c r="Q59" s="256"/>
      <c r="R59" s="2"/>
      <c r="S59" s="226" t="s">
        <v>292</v>
      </c>
      <c r="T59" s="256"/>
      <c r="U59" s="256"/>
      <c r="V59" s="256"/>
      <c r="W59" s="256"/>
    </row>
    <row r="60" spans="1:24" s="38" customFormat="1" x14ac:dyDescent="0.2">
      <c r="A60" s="39"/>
      <c r="B60" s="39"/>
      <c r="F60" s="53"/>
      <c r="G60" s="54"/>
      <c r="H60" s="55"/>
    </row>
    <row r="61" spans="1:24" s="38" customFormat="1" x14ac:dyDescent="0.2">
      <c r="A61" s="39"/>
      <c r="B61" s="39"/>
      <c r="F61" s="53"/>
      <c r="G61" s="54"/>
      <c r="H61" s="55"/>
    </row>
    <row r="62" spans="1:24" s="38" customFormat="1" ht="12.75" customHeight="1" x14ac:dyDescent="0.2">
      <c r="A62" s="276" t="s">
        <v>298</v>
      </c>
      <c r="B62" s="276"/>
      <c r="C62" s="277"/>
      <c r="D62" s="277"/>
      <c r="E62" s="277"/>
      <c r="F62" s="277"/>
      <c r="G62" s="277"/>
      <c r="H62" s="277"/>
      <c r="I62" s="277"/>
      <c r="J62" s="277"/>
      <c r="K62" s="277"/>
      <c r="L62" s="277"/>
      <c r="M62" s="277"/>
      <c r="N62" s="277"/>
      <c r="O62" s="277"/>
      <c r="P62" s="277"/>
      <c r="Q62" s="277"/>
      <c r="R62" s="277"/>
      <c r="S62" s="277"/>
      <c r="T62" s="277"/>
      <c r="U62" s="277"/>
      <c r="V62" s="277"/>
      <c r="W62" s="277"/>
      <c r="X62" s="277"/>
    </row>
    <row r="63" spans="1:24" s="38" customFormat="1" x14ac:dyDescent="0.2">
      <c r="A63" s="126"/>
      <c r="B63" s="126"/>
      <c r="C63" s="127"/>
      <c r="D63" s="127"/>
      <c r="E63" s="127"/>
      <c r="F63" s="127"/>
      <c r="G63" s="127"/>
      <c r="H63" s="127"/>
      <c r="I63" s="127"/>
      <c r="J63" s="127"/>
      <c r="K63" s="127"/>
      <c r="L63" s="127"/>
      <c r="M63" s="127"/>
      <c r="N63" s="127"/>
      <c r="O63" s="127"/>
      <c r="P63" s="127"/>
      <c r="Q63" s="127"/>
      <c r="R63" s="127"/>
      <c r="S63" s="127"/>
      <c r="T63" s="127"/>
      <c r="U63" s="127"/>
      <c r="V63" s="127"/>
      <c r="W63" s="127"/>
      <c r="X63" s="127"/>
    </row>
    <row r="64" spans="1:24" s="38" customFormat="1" ht="12.75" customHeight="1" x14ac:dyDescent="0.2">
      <c r="A64" s="259" t="s">
        <v>299</v>
      </c>
      <c r="B64" s="259"/>
      <c r="C64" s="260"/>
      <c r="D64" s="260"/>
      <c r="E64" s="260"/>
      <c r="F64" s="260"/>
      <c r="G64" s="260"/>
      <c r="H64" s="260"/>
      <c r="I64" s="260"/>
      <c r="J64" s="260"/>
      <c r="K64" s="260"/>
      <c r="L64" s="260"/>
      <c r="M64" s="260"/>
      <c r="N64" s="260"/>
      <c r="O64" s="260"/>
      <c r="P64" s="260"/>
      <c r="Q64" s="260"/>
      <c r="R64" s="260"/>
      <c r="S64" s="260"/>
      <c r="T64" s="260"/>
      <c r="U64" s="260"/>
      <c r="V64" s="260"/>
      <c r="W64" s="260"/>
      <c r="X64" s="260"/>
    </row>
    <row r="65" spans="1:24" s="38" customFormat="1" x14ac:dyDescent="0.2">
      <c r="A65" s="259" t="s">
        <v>221</v>
      </c>
      <c r="B65" s="259"/>
      <c r="C65" s="260"/>
      <c r="D65" s="260"/>
      <c r="E65" s="260"/>
      <c r="F65" s="260"/>
      <c r="G65" s="260"/>
      <c r="H65" s="260"/>
      <c r="I65" s="260"/>
      <c r="J65" s="260"/>
      <c r="K65" s="260"/>
      <c r="L65" s="260"/>
      <c r="M65" s="260"/>
      <c r="N65" s="260"/>
      <c r="O65" s="260"/>
      <c r="P65" s="260"/>
      <c r="Q65" s="260"/>
      <c r="R65" s="260"/>
      <c r="S65" s="260"/>
      <c r="T65" s="260"/>
      <c r="U65" s="260"/>
      <c r="V65" s="260"/>
      <c r="W65" s="260"/>
      <c r="X65" s="260"/>
    </row>
    <row r="66" spans="1:24" s="38" customFormat="1" ht="12.75" customHeight="1" x14ac:dyDescent="0.2">
      <c r="A66" s="259" t="s">
        <v>300</v>
      </c>
      <c r="B66" s="259"/>
      <c r="C66" s="260"/>
      <c r="D66" s="260"/>
      <c r="E66" s="260"/>
      <c r="F66" s="260"/>
      <c r="G66" s="260"/>
      <c r="H66" s="260"/>
      <c r="I66" s="260"/>
      <c r="J66" s="260"/>
      <c r="K66" s="260"/>
      <c r="L66" s="260"/>
      <c r="M66" s="260"/>
      <c r="N66" s="260"/>
      <c r="O66" s="260"/>
      <c r="P66" s="260"/>
      <c r="Q66" s="260"/>
      <c r="R66" s="260"/>
      <c r="S66" s="260"/>
      <c r="T66" s="260"/>
      <c r="U66" s="260"/>
      <c r="V66" s="260"/>
      <c r="W66" s="260"/>
      <c r="X66" s="260"/>
    </row>
    <row r="67" spans="1:24" s="38" customFormat="1" ht="12.75" customHeight="1" x14ac:dyDescent="0.2">
      <c r="A67" s="259" t="s">
        <v>301</v>
      </c>
      <c r="B67" s="259"/>
      <c r="C67" s="260"/>
      <c r="D67" s="260"/>
      <c r="E67" s="260"/>
      <c r="F67" s="260"/>
      <c r="G67" s="260"/>
      <c r="H67" s="260"/>
      <c r="I67" s="260"/>
      <c r="J67" s="260"/>
      <c r="K67" s="260"/>
      <c r="L67" s="260"/>
      <c r="M67" s="260"/>
      <c r="N67" s="260"/>
      <c r="O67" s="260"/>
      <c r="P67" s="260"/>
      <c r="Q67" s="260"/>
      <c r="R67" s="260"/>
      <c r="S67" s="260"/>
      <c r="T67" s="260"/>
      <c r="U67" s="260"/>
      <c r="V67" s="260"/>
      <c r="W67" s="260"/>
      <c r="X67" s="260"/>
    </row>
    <row r="68" spans="1:24" s="38" customFormat="1" ht="12.75" customHeight="1" x14ac:dyDescent="0.2">
      <c r="A68" s="259" t="s">
        <v>222</v>
      </c>
      <c r="B68" s="259"/>
      <c r="C68" s="260"/>
      <c r="D68" s="260"/>
      <c r="E68" s="260"/>
      <c r="F68" s="260"/>
      <c r="G68" s="260"/>
      <c r="H68" s="260"/>
      <c r="I68" s="260"/>
      <c r="J68" s="260"/>
      <c r="K68" s="260"/>
      <c r="L68" s="260"/>
      <c r="M68" s="260"/>
      <c r="N68" s="260"/>
      <c r="O68" s="260"/>
      <c r="P68" s="260"/>
      <c r="Q68" s="260"/>
      <c r="R68" s="260"/>
      <c r="S68" s="260"/>
      <c r="T68" s="260"/>
      <c r="U68" s="260"/>
      <c r="V68" s="260"/>
      <c r="W68" s="260"/>
      <c r="X68" s="260"/>
    </row>
    <row r="69" spans="1:24" s="38" customFormat="1" ht="12.75" customHeight="1" x14ac:dyDescent="0.2">
      <c r="A69" s="259" t="s">
        <v>302</v>
      </c>
      <c r="B69" s="259"/>
      <c r="C69" s="260"/>
      <c r="D69" s="260"/>
      <c r="E69" s="260"/>
      <c r="F69" s="260"/>
      <c r="G69" s="260"/>
      <c r="H69" s="260"/>
      <c r="I69" s="260"/>
      <c r="J69" s="260"/>
      <c r="K69" s="260"/>
      <c r="L69" s="260"/>
      <c r="M69" s="260"/>
      <c r="N69" s="260"/>
      <c r="O69" s="260"/>
      <c r="P69" s="260"/>
      <c r="Q69" s="260"/>
      <c r="R69" s="260"/>
      <c r="S69" s="260"/>
      <c r="T69" s="260"/>
      <c r="U69" s="260"/>
      <c r="V69" s="260"/>
      <c r="W69" s="260"/>
      <c r="X69" s="260"/>
    </row>
    <row r="70" spans="1:24" s="38" customFormat="1" x14ac:dyDescent="0.2">
      <c r="A70" s="39"/>
      <c r="B70" s="39"/>
      <c r="F70" s="53"/>
      <c r="G70" s="54"/>
      <c r="H70" s="55"/>
    </row>
    <row r="71" spans="1:24" s="38" customFormat="1" ht="12.75" customHeight="1" x14ac:dyDescent="0.2">
      <c r="A71" s="276" t="s">
        <v>207</v>
      </c>
      <c r="B71" s="276"/>
      <c r="C71" s="277"/>
      <c r="D71" s="277"/>
      <c r="E71" s="277"/>
      <c r="F71" s="277"/>
      <c r="G71" s="277"/>
      <c r="H71" s="277"/>
      <c r="I71" s="277"/>
      <c r="J71" s="277"/>
      <c r="K71" s="277"/>
      <c r="L71" s="277"/>
      <c r="M71" s="277"/>
      <c r="N71" s="277"/>
      <c r="O71" s="277"/>
      <c r="P71" s="277"/>
      <c r="Q71" s="277"/>
      <c r="R71" s="277"/>
      <c r="S71" s="277"/>
      <c r="T71" s="277"/>
      <c r="U71" s="277"/>
      <c r="V71" s="277"/>
      <c r="W71" s="277"/>
      <c r="X71" s="277"/>
    </row>
    <row r="72" spans="1:24" s="38" customFormat="1" x14ac:dyDescent="0.2">
      <c r="A72" s="126"/>
      <c r="B72" s="126"/>
      <c r="C72" s="127"/>
      <c r="D72" s="127"/>
      <c r="E72" s="127"/>
      <c r="F72" s="127"/>
      <c r="G72" s="127"/>
      <c r="H72" s="127"/>
      <c r="I72" s="127"/>
      <c r="J72" s="127"/>
      <c r="K72" s="127"/>
      <c r="L72" s="127"/>
      <c r="M72" s="127"/>
      <c r="N72" s="127"/>
      <c r="O72" s="127"/>
      <c r="P72" s="127"/>
      <c r="Q72" s="127"/>
      <c r="R72" s="127"/>
      <c r="S72" s="127"/>
      <c r="T72" s="127"/>
      <c r="U72" s="127"/>
      <c r="V72" s="127"/>
      <c r="W72" s="127"/>
      <c r="X72" s="127"/>
    </row>
    <row r="73" spans="1:24" s="38" customFormat="1" ht="12.75" customHeight="1" x14ac:dyDescent="0.2">
      <c r="A73" s="259" t="s">
        <v>208</v>
      </c>
      <c r="B73" s="259"/>
      <c r="C73" s="260"/>
      <c r="D73" s="260"/>
      <c r="E73" s="260"/>
      <c r="F73" s="260"/>
      <c r="G73" s="260"/>
      <c r="H73" s="260"/>
      <c r="I73" s="260"/>
      <c r="J73" s="260"/>
      <c r="K73" s="260"/>
      <c r="L73" s="260"/>
      <c r="M73" s="260"/>
      <c r="N73" s="260"/>
      <c r="O73" s="260"/>
      <c r="P73" s="260"/>
      <c r="Q73" s="260"/>
      <c r="R73" s="260"/>
      <c r="S73" s="260"/>
      <c r="T73" s="260"/>
      <c r="U73" s="260"/>
      <c r="V73" s="260"/>
      <c r="W73" s="260"/>
      <c r="X73" s="260"/>
    </row>
    <row r="74" spans="1:24" s="38" customFormat="1" ht="12.75" customHeight="1" x14ac:dyDescent="0.2">
      <c r="A74" s="283" t="s">
        <v>303</v>
      </c>
      <c r="B74" s="283"/>
      <c r="C74" s="284"/>
      <c r="D74" s="284"/>
      <c r="E74" s="284"/>
      <c r="F74" s="284"/>
      <c r="G74" s="284"/>
      <c r="H74" s="284"/>
      <c r="I74" s="284"/>
      <c r="J74" s="284"/>
      <c r="K74" s="284"/>
      <c r="L74" s="284"/>
      <c r="M74" s="284"/>
      <c r="N74" s="284"/>
      <c r="O74" s="284"/>
      <c r="P74" s="284"/>
      <c r="Q74" s="284"/>
      <c r="R74" s="284"/>
      <c r="S74" s="284"/>
      <c r="T74" s="284"/>
      <c r="U74" s="284"/>
      <c r="V74" s="284"/>
      <c r="W74" s="284"/>
      <c r="X74" s="284"/>
    </row>
    <row r="75" spans="1:24" s="38" customFormat="1" ht="12.75" customHeight="1" x14ac:dyDescent="0.2">
      <c r="A75" s="283" t="s">
        <v>304</v>
      </c>
      <c r="B75" s="283"/>
      <c r="C75" s="284"/>
      <c r="D75" s="284"/>
      <c r="E75" s="284"/>
      <c r="F75" s="284"/>
      <c r="G75" s="284"/>
      <c r="H75" s="284"/>
      <c r="I75" s="284"/>
      <c r="J75" s="284"/>
      <c r="K75" s="284"/>
      <c r="L75" s="284"/>
      <c r="M75" s="284"/>
      <c r="N75" s="284"/>
      <c r="O75" s="284"/>
      <c r="P75" s="284"/>
      <c r="Q75" s="284"/>
      <c r="R75" s="284"/>
      <c r="S75" s="284"/>
      <c r="T75" s="284"/>
      <c r="U75" s="284"/>
      <c r="V75" s="284"/>
      <c r="W75" s="284"/>
      <c r="X75" s="284"/>
    </row>
    <row r="76" spans="1:24" s="38" customFormat="1" ht="12.75" customHeight="1" x14ac:dyDescent="0.2">
      <c r="A76" s="283" t="s">
        <v>209</v>
      </c>
      <c r="B76" s="283"/>
      <c r="C76" s="284"/>
      <c r="D76" s="284"/>
      <c r="E76" s="284"/>
      <c r="F76" s="284"/>
      <c r="G76" s="284"/>
      <c r="H76" s="284"/>
      <c r="I76" s="284"/>
      <c r="J76" s="284"/>
      <c r="K76" s="284"/>
      <c r="L76" s="284"/>
      <c r="M76" s="284"/>
      <c r="N76" s="284"/>
      <c r="O76" s="284"/>
      <c r="P76" s="284"/>
      <c r="Q76" s="284"/>
      <c r="R76" s="284"/>
      <c r="S76" s="284"/>
      <c r="T76" s="284"/>
      <c r="U76" s="284"/>
      <c r="V76" s="284"/>
      <c r="W76" s="284"/>
      <c r="X76" s="284"/>
    </row>
    <row r="77" spans="1:24" s="38" customFormat="1" ht="12.75" customHeight="1" x14ac:dyDescent="0.2">
      <c r="A77" s="283" t="s">
        <v>210</v>
      </c>
      <c r="B77" s="283"/>
      <c r="C77" s="284"/>
      <c r="D77" s="284"/>
      <c r="E77" s="284"/>
      <c r="F77" s="284"/>
      <c r="G77" s="284"/>
      <c r="H77" s="284"/>
      <c r="I77" s="284"/>
      <c r="J77" s="284"/>
      <c r="K77" s="284"/>
      <c r="L77" s="284"/>
      <c r="M77" s="284"/>
      <c r="N77" s="284"/>
      <c r="O77" s="284"/>
      <c r="P77" s="284"/>
      <c r="Q77" s="284"/>
      <c r="R77" s="284"/>
      <c r="S77" s="284"/>
      <c r="T77" s="284"/>
      <c r="U77" s="284"/>
      <c r="V77" s="284"/>
      <c r="W77" s="284"/>
      <c r="X77" s="284"/>
    </row>
    <row r="78" spans="1:24" s="38" customFormat="1" ht="12.75" customHeight="1" x14ac:dyDescent="0.2">
      <c r="A78" s="283" t="s">
        <v>305</v>
      </c>
      <c r="B78" s="283"/>
      <c r="C78" s="284"/>
      <c r="D78" s="284"/>
      <c r="E78" s="284"/>
      <c r="F78" s="284"/>
      <c r="G78" s="284"/>
      <c r="H78" s="284"/>
      <c r="I78" s="284"/>
      <c r="J78" s="284"/>
      <c r="K78" s="284"/>
      <c r="L78" s="284"/>
      <c r="M78" s="284"/>
      <c r="N78" s="284"/>
      <c r="O78" s="284"/>
      <c r="P78" s="284"/>
      <c r="Q78" s="284"/>
      <c r="R78" s="284"/>
      <c r="S78" s="284"/>
      <c r="T78" s="284"/>
      <c r="U78" s="284"/>
      <c r="V78" s="284"/>
      <c r="W78" s="284"/>
      <c r="X78" s="284"/>
    </row>
    <row r="79" spans="1:24" s="38" customFormat="1" ht="25.5" customHeight="1" x14ac:dyDescent="0.2">
      <c r="A79" s="283" t="s">
        <v>306</v>
      </c>
      <c r="B79" s="283"/>
      <c r="C79" s="306"/>
      <c r="D79" s="306"/>
      <c r="E79" s="306"/>
      <c r="F79" s="306"/>
      <c r="G79" s="306"/>
      <c r="H79" s="306"/>
      <c r="I79" s="306"/>
      <c r="J79" s="306"/>
      <c r="K79" s="306"/>
      <c r="L79" s="306"/>
      <c r="M79" s="306"/>
      <c r="N79" s="306"/>
      <c r="O79" s="306"/>
      <c r="P79" s="306"/>
      <c r="Q79" s="306"/>
      <c r="R79" s="306"/>
      <c r="S79" s="306"/>
      <c r="T79" s="306"/>
      <c r="U79" s="306"/>
      <c r="V79" s="306"/>
      <c r="W79" s="306"/>
      <c r="X79" s="306"/>
    </row>
    <row r="80" spans="1:24" s="38" customFormat="1" ht="12.75" customHeight="1" x14ac:dyDescent="0.2">
      <c r="A80" s="283" t="s">
        <v>307</v>
      </c>
      <c r="B80" s="283"/>
      <c r="C80" s="284"/>
      <c r="D80" s="284"/>
      <c r="E80" s="284"/>
      <c r="F80" s="284"/>
      <c r="G80" s="284"/>
      <c r="H80" s="284"/>
      <c r="I80" s="284"/>
      <c r="J80" s="284"/>
      <c r="K80" s="284"/>
      <c r="L80" s="284"/>
      <c r="M80" s="284"/>
      <c r="N80" s="284"/>
      <c r="O80" s="284"/>
      <c r="P80" s="284"/>
      <c r="Q80" s="284"/>
      <c r="R80" s="284"/>
      <c r="S80" s="284"/>
      <c r="T80" s="284"/>
      <c r="U80" s="284"/>
      <c r="V80" s="284"/>
      <c r="W80" s="284"/>
      <c r="X80" s="284"/>
    </row>
    <row r="81" spans="1:24" s="38" customFormat="1" x14ac:dyDescent="0.2">
      <c r="A81" s="39"/>
      <c r="B81" s="39"/>
      <c r="F81" s="53"/>
      <c r="G81" s="54"/>
      <c r="H81" s="55"/>
    </row>
    <row r="82" spans="1:24" s="38" customFormat="1" ht="12.75" customHeight="1" x14ac:dyDescent="0.2">
      <c r="A82" s="259" t="s">
        <v>211</v>
      </c>
      <c r="B82" s="259"/>
      <c r="C82" s="260"/>
      <c r="D82" s="260"/>
      <c r="E82" s="260"/>
      <c r="F82" s="260"/>
      <c r="G82" s="260"/>
      <c r="H82" s="260"/>
      <c r="I82" s="260"/>
      <c r="J82" s="260"/>
      <c r="K82" s="260"/>
      <c r="L82" s="260"/>
      <c r="M82" s="260"/>
      <c r="N82" s="260"/>
      <c r="O82" s="260"/>
      <c r="P82" s="260"/>
      <c r="Q82" s="260"/>
      <c r="R82" s="260"/>
      <c r="S82" s="260"/>
      <c r="T82" s="260"/>
      <c r="U82" s="260"/>
      <c r="V82" s="260"/>
      <c r="W82" s="260"/>
      <c r="X82" s="260"/>
    </row>
    <row r="83" spans="1:24" s="38" customFormat="1" ht="12.75" customHeight="1" x14ac:dyDescent="0.2">
      <c r="A83" s="283" t="s">
        <v>212</v>
      </c>
      <c r="B83" s="283"/>
      <c r="C83" s="284"/>
      <c r="D83" s="284"/>
      <c r="E83" s="284"/>
      <c r="F83" s="284"/>
      <c r="G83" s="284"/>
      <c r="H83" s="284"/>
      <c r="I83" s="284"/>
      <c r="J83" s="284"/>
      <c r="K83" s="284"/>
      <c r="L83" s="284"/>
      <c r="M83" s="284"/>
      <c r="N83" s="284"/>
      <c r="O83" s="284"/>
      <c r="P83" s="284"/>
      <c r="Q83" s="284"/>
      <c r="R83" s="284"/>
      <c r="S83" s="284"/>
      <c r="T83" s="284"/>
      <c r="U83" s="284"/>
      <c r="V83" s="284"/>
      <c r="W83" s="284"/>
      <c r="X83" s="284"/>
    </row>
    <row r="84" spans="1:24" s="38" customFormat="1" ht="12.75" customHeight="1" x14ac:dyDescent="0.2">
      <c r="A84" s="290" t="s">
        <v>309</v>
      </c>
      <c r="B84" s="290"/>
      <c r="C84" s="291"/>
      <c r="D84" s="291"/>
      <c r="E84" s="291"/>
      <c r="F84" s="291"/>
      <c r="G84" s="291"/>
      <c r="H84" s="291"/>
      <c r="I84" s="291"/>
      <c r="J84" s="291"/>
      <c r="K84" s="291"/>
      <c r="L84" s="291"/>
      <c r="M84" s="291"/>
      <c r="N84" s="291"/>
      <c r="O84" s="291"/>
      <c r="P84" s="291"/>
      <c r="Q84" s="291"/>
      <c r="R84" s="291"/>
      <c r="S84" s="291"/>
      <c r="T84" s="291"/>
      <c r="U84" s="291"/>
      <c r="V84" s="291"/>
      <c r="W84" s="291"/>
      <c r="X84" s="291"/>
    </row>
    <row r="85" spans="1:24" s="38" customFormat="1" ht="12.75" customHeight="1" x14ac:dyDescent="0.2">
      <c r="A85" s="290" t="s">
        <v>308</v>
      </c>
      <c r="B85" s="290"/>
      <c r="C85" s="291"/>
      <c r="D85" s="291"/>
      <c r="E85" s="291"/>
      <c r="F85" s="291"/>
      <c r="G85" s="291"/>
      <c r="H85" s="291"/>
      <c r="I85" s="291"/>
      <c r="J85" s="291"/>
      <c r="K85" s="291"/>
      <c r="L85" s="291"/>
      <c r="M85" s="291"/>
      <c r="N85" s="291"/>
      <c r="O85" s="291"/>
      <c r="P85" s="291"/>
      <c r="Q85" s="291"/>
      <c r="R85" s="291"/>
      <c r="S85" s="291"/>
      <c r="T85" s="291"/>
      <c r="U85" s="291"/>
      <c r="V85" s="291"/>
      <c r="W85" s="291"/>
      <c r="X85" s="291"/>
    </row>
    <row r="86" spans="1:24" s="38" customFormat="1" ht="12.75" customHeight="1" x14ac:dyDescent="0.2">
      <c r="A86" s="290" t="s">
        <v>310</v>
      </c>
      <c r="B86" s="290"/>
      <c r="C86" s="291"/>
      <c r="D86" s="291"/>
      <c r="E86" s="291"/>
      <c r="F86" s="291"/>
      <c r="G86" s="291"/>
      <c r="H86" s="291"/>
      <c r="I86" s="291"/>
      <c r="J86" s="291"/>
      <c r="K86" s="291"/>
      <c r="L86" s="291"/>
      <c r="M86" s="291"/>
      <c r="N86" s="291"/>
      <c r="O86" s="291"/>
      <c r="P86" s="291"/>
      <c r="Q86" s="291"/>
      <c r="R86" s="291"/>
      <c r="S86" s="291"/>
      <c r="T86" s="291"/>
      <c r="U86" s="291"/>
      <c r="V86" s="291"/>
      <c r="W86" s="291"/>
      <c r="X86" s="291"/>
    </row>
    <row r="87" spans="1:24" s="38" customFormat="1" ht="12.75" customHeight="1" x14ac:dyDescent="0.2">
      <c r="A87" s="290" t="s">
        <v>311</v>
      </c>
      <c r="B87" s="290"/>
      <c r="C87" s="291"/>
      <c r="D87" s="291"/>
      <c r="E87" s="291"/>
      <c r="F87" s="291"/>
      <c r="G87" s="291"/>
      <c r="H87" s="291"/>
      <c r="I87" s="291"/>
      <c r="J87" s="291"/>
      <c r="K87" s="291"/>
      <c r="L87" s="291"/>
      <c r="M87" s="291"/>
      <c r="N87" s="291"/>
      <c r="O87" s="291"/>
      <c r="P87" s="291"/>
      <c r="Q87" s="291"/>
      <c r="R87" s="291"/>
      <c r="S87" s="291"/>
      <c r="T87" s="291"/>
      <c r="U87" s="291"/>
      <c r="V87" s="291"/>
      <c r="W87" s="291"/>
      <c r="X87" s="291"/>
    </row>
    <row r="88" spans="1:24" s="38" customFormat="1" ht="12.75" customHeight="1" x14ac:dyDescent="0.2">
      <c r="A88" s="290" t="s">
        <v>312</v>
      </c>
      <c r="B88" s="290"/>
      <c r="C88" s="291"/>
      <c r="D88" s="291"/>
      <c r="E88" s="291"/>
      <c r="F88" s="291"/>
      <c r="G88" s="291"/>
      <c r="H88" s="291"/>
      <c r="I88" s="291"/>
      <c r="J88" s="291"/>
      <c r="K88" s="291"/>
      <c r="L88" s="291"/>
      <c r="M88" s="291"/>
      <c r="N88" s="291"/>
      <c r="O88" s="291"/>
      <c r="P88" s="291"/>
      <c r="Q88" s="291"/>
      <c r="R88" s="291"/>
      <c r="S88" s="291"/>
      <c r="T88" s="291"/>
      <c r="U88" s="291"/>
      <c r="V88" s="291"/>
      <c r="W88" s="291"/>
      <c r="X88" s="291"/>
    </row>
    <row r="89" spans="1:24" s="38" customFormat="1" ht="12.75" customHeight="1" x14ac:dyDescent="0.2">
      <c r="A89" s="283" t="s">
        <v>213</v>
      </c>
      <c r="B89" s="283"/>
      <c r="C89" s="284"/>
      <c r="D89" s="284"/>
      <c r="E89" s="284"/>
      <c r="F89" s="284"/>
      <c r="G89" s="284"/>
      <c r="H89" s="284"/>
      <c r="I89" s="284"/>
      <c r="J89" s="284"/>
      <c r="K89" s="284"/>
      <c r="L89" s="284"/>
      <c r="M89" s="284"/>
      <c r="N89" s="284"/>
      <c r="O89" s="284"/>
      <c r="P89" s="284"/>
      <c r="Q89" s="284"/>
      <c r="R89" s="284"/>
      <c r="S89" s="284"/>
      <c r="T89" s="284"/>
      <c r="U89" s="284"/>
      <c r="V89" s="284"/>
      <c r="W89" s="284"/>
      <c r="X89" s="284"/>
    </row>
    <row r="90" spans="1:24" s="38" customFormat="1" ht="12.75" customHeight="1" x14ac:dyDescent="0.2">
      <c r="A90" s="283" t="s">
        <v>313</v>
      </c>
      <c r="B90" s="283"/>
      <c r="C90" s="284"/>
      <c r="D90" s="284"/>
      <c r="E90" s="284"/>
      <c r="F90" s="284"/>
      <c r="G90" s="284"/>
      <c r="H90" s="284"/>
      <c r="I90" s="284"/>
      <c r="J90" s="284"/>
      <c r="K90" s="284"/>
      <c r="L90" s="284"/>
      <c r="M90" s="284"/>
      <c r="N90" s="284"/>
      <c r="O90" s="284"/>
      <c r="P90" s="284"/>
      <c r="Q90" s="284"/>
      <c r="R90" s="284"/>
      <c r="S90" s="284"/>
      <c r="T90" s="284"/>
      <c r="U90" s="284"/>
      <c r="V90" s="284"/>
      <c r="W90" s="284"/>
      <c r="X90" s="284"/>
    </row>
    <row r="91" spans="1:24" s="38" customFormat="1" ht="12.75" customHeight="1" x14ac:dyDescent="0.2">
      <c r="A91" s="283" t="s">
        <v>214</v>
      </c>
      <c r="B91" s="283"/>
      <c r="C91" s="284"/>
      <c r="D91" s="284"/>
      <c r="E91" s="284"/>
      <c r="F91" s="284"/>
      <c r="G91" s="284"/>
      <c r="H91" s="284"/>
      <c r="I91" s="284"/>
      <c r="J91" s="284"/>
      <c r="K91" s="284"/>
      <c r="L91" s="284"/>
      <c r="M91" s="284"/>
      <c r="N91" s="284"/>
      <c r="O91" s="284"/>
      <c r="P91" s="284"/>
      <c r="Q91" s="284"/>
      <c r="R91" s="284"/>
      <c r="S91" s="284"/>
      <c r="T91" s="284"/>
      <c r="U91" s="284"/>
      <c r="V91" s="284"/>
      <c r="W91" s="284"/>
      <c r="X91" s="284"/>
    </row>
    <row r="92" spans="1:24" s="38" customFormat="1" ht="26.25" customHeight="1" x14ac:dyDescent="0.2">
      <c r="A92" s="283" t="s">
        <v>314</v>
      </c>
      <c r="B92" s="283"/>
      <c r="C92" s="284"/>
      <c r="D92" s="284"/>
      <c r="E92" s="284"/>
      <c r="F92" s="284"/>
      <c r="G92" s="284"/>
      <c r="H92" s="284"/>
      <c r="I92" s="284"/>
      <c r="J92" s="284"/>
      <c r="K92" s="284"/>
      <c r="L92" s="284"/>
      <c r="M92" s="284"/>
      <c r="N92" s="284"/>
      <c r="O92" s="284"/>
      <c r="P92" s="284"/>
      <c r="Q92" s="284"/>
      <c r="R92" s="284"/>
      <c r="S92" s="284"/>
      <c r="T92" s="284"/>
      <c r="U92" s="284"/>
      <c r="V92" s="284"/>
      <c r="W92" s="284"/>
      <c r="X92" s="284"/>
    </row>
    <row r="93" spans="1:24" x14ac:dyDescent="0.2">
      <c r="A93" s="283" t="s">
        <v>315</v>
      </c>
      <c r="B93" s="283"/>
      <c r="C93" s="284"/>
      <c r="D93" s="284"/>
      <c r="E93" s="284"/>
      <c r="F93" s="284"/>
      <c r="G93" s="284"/>
      <c r="H93" s="284"/>
      <c r="I93" s="284"/>
      <c r="J93" s="284"/>
      <c r="K93" s="284"/>
      <c r="L93" s="284"/>
      <c r="M93" s="284"/>
      <c r="N93" s="284"/>
      <c r="O93" s="284"/>
      <c r="P93" s="284"/>
      <c r="Q93" s="284"/>
      <c r="R93" s="284"/>
      <c r="S93" s="284"/>
      <c r="T93" s="284"/>
      <c r="U93" s="284"/>
      <c r="V93" s="284"/>
      <c r="W93" s="284"/>
      <c r="X93" s="284"/>
    </row>
    <row r="94" spans="1:24" x14ac:dyDescent="0.2">
      <c r="A94" s="290" t="s">
        <v>225</v>
      </c>
      <c r="B94" s="290"/>
      <c r="C94" s="291"/>
      <c r="D94" s="291"/>
      <c r="E94" s="291"/>
      <c r="F94" s="291"/>
      <c r="G94" s="291"/>
      <c r="H94" s="291"/>
      <c r="I94" s="291"/>
      <c r="J94" s="291"/>
      <c r="K94" s="291"/>
      <c r="L94" s="291"/>
      <c r="M94" s="291"/>
      <c r="N94" s="291"/>
      <c r="O94" s="291"/>
      <c r="P94" s="291"/>
      <c r="Q94" s="291"/>
      <c r="R94" s="291"/>
      <c r="S94" s="291"/>
      <c r="T94" s="291"/>
      <c r="U94" s="291"/>
      <c r="V94" s="291"/>
      <c r="W94" s="291"/>
      <c r="X94" s="291"/>
    </row>
    <row r="95" spans="1:24" x14ac:dyDescent="0.2">
      <c r="A95" s="154"/>
      <c r="B95" s="154"/>
      <c r="C95" s="155"/>
      <c r="D95" s="155"/>
      <c r="E95" s="155"/>
      <c r="F95" s="155"/>
      <c r="G95" s="155"/>
      <c r="H95" s="155"/>
      <c r="I95" s="155"/>
      <c r="J95" s="155"/>
      <c r="K95" s="155"/>
      <c r="L95" s="155"/>
      <c r="M95" s="155"/>
      <c r="N95" s="155"/>
      <c r="O95" s="155"/>
      <c r="P95" s="155"/>
      <c r="Q95" s="155"/>
      <c r="R95" s="155"/>
      <c r="S95" s="155"/>
      <c r="T95" s="155"/>
      <c r="U95" s="155"/>
      <c r="V95" s="155"/>
      <c r="W95" s="155"/>
      <c r="X95" s="155"/>
    </row>
    <row r="96" spans="1:24" ht="65.25" customHeight="1" x14ac:dyDescent="0.2">
      <c r="A96" s="259" t="s">
        <v>316</v>
      </c>
      <c r="B96" s="259"/>
      <c r="C96" s="260"/>
      <c r="D96" s="260"/>
      <c r="E96" s="260"/>
      <c r="F96" s="260"/>
      <c r="G96" s="260"/>
      <c r="H96" s="260"/>
      <c r="I96" s="260"/>
      <c r="J96" s="260"/>
      <c r="K96" s="260"/>
      <c r="L96" s="260"/>
      <c r="M96" s="260"/>
      <c r="N96" s="260"/>
      <c r="O96" s="260"/>
      <c r="P96" s="260"/>
      <c r="Q96" s="260"/>
      <c r="R96" s="260"/>
      <c r="S96" s="260"/>
      <c r="T96" s="260"/>
      <c r="U96" s="260"/>
      <c r="V96" s="260"/>
      <c r="W96" s="260"/>
      <c r="X96" s="260"/>
    </row>
    <row r="97" spans="1:24" x14ac:dyDescent="0.2">
      <c r="A97" s="39"/>
      <c r="B97" s="39"/>
      <c r="C97" s="38"/>
      <c r="D97" s="38"/>
      <c r="E97" s="38"/>
      <c r="F97" s="53"/>
      <c r="G97" s="54"/>
      <c r="H97" s="55"/>
      <c r="I97" s="38"/>
      <c r="J97" s="38"/>
      <c r="K97" s="38"/>
      <c r="L97" s="38"/>
      <c r="M97" s="38"/>
      <c r="N97" s="38"/>
      <c r="O97" s="38"/>
      <c r="P97" s="38"/>
      <c r="Q97" s="38"/>
      <c r="R97" s="38"/>
      <c r="S97" s="38"/>
      <c r="T97" s="38"/>
      <c r="U97" s="38"/>
      <c r="V97" s="38"/>
      <c r="W97" s="38"/>
      <c r="X97" s="38"/>
    </row>
    <row r="98" spans="1:24" x14ac:dyDescent="0.2">
      <c r="A98" s="259" t="s">
        <v>317</v>
      </c>
      <c r="B98" s="259"/>
      <c r="C98" s="259"/>
      <c r="D98" s="259"/>
      <c r="E98" s="259"/>
      <c r="F98" s="259"/>
      <c r="G98" s="259"/>
      <c r="H98" s="259"/>
      <c r="I98" s="259"/>
      <c r="J98" s="259"/>
      <c r="K98" s="259"/>
      <c r="L98" s="259"/>
      <c r="M98" s="259"/>
      <c r="N98" s="259"/>
      <c r="O98" s="259"/>
      <c r="P98" s="259"/>
      <c r="Q98" s="259"/>
      <c r="R98" s="259"/>
      <c r="S98" s="259"/>
      <c r="T98" s="259"/>
      <c r="U98" s="259"/>
      <c r="V98" s="259"/>
      <c r="W98" s="259"/>
      <c r="X98" s="259"/>
    </row>
    <row r="99" spans="1:24" x14ac:dyDescent="0.2">
      <c r="A99" s="39"/>
      <c r="B99" s="39"/>
      <c r="C99" s="38"/>
      <c r="D99" s="38"/>
      <c r="E99" s="38"/>
      <c r="F99" s="53"/>
      <c r="G99" s="54"/>
      <c r="H99" s="55"/>
      <c r="I99" s="38"/>
      <c r="J99" s="38"/>
      <c r="K99" s="38"/>
      <c r="L99" s="38"/>
      <c r="M99" s="38"/>
      <c r="N99" s="38"/>
      <c r="O99" s="38"/>
      <c r="P99" s="38"/>
      <c r="Q99" s="38"/>
      <c r="R99" s="38"/>
      <c r="S99" s="38"/>
      <c r="T99" s="38"/>
      <c r="U99" s="38"/>
      <c r="V99" s="38"/>
      <c r="W99" s="38"/>
      <c r="X99" s="38"/>
    </row>
    <row r="100" spans="1:24" ht="39" customHeight="1" x14ac:dyDescent="0.2">
      <c r="A100" s="259" t="s">
        <v>318</v>
      </c>
      <c r="B100" s="259"/>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row>
    <row r="102" spans="1:24" x14ac:dyDescent="0.2">
      <c r="A102" s="276" t="s">
        <v>224</v>
      </c>
      <c r="B102" s="276"/>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row>
    <row r="103" spans="1:24" x14ac:dyDescent="0.2">
      <c r="A103" s="126"/>
      <c r="B103" s="126"/>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row>
    <row r="104" spans="1:24" x14ac:dyDescent="0.2">
      <c r="A104" s="259" t="s">
        <v>319</v>
      </c>
      <c r="B104" s="259"/>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row>
    <row r="105" spans="1:24" x14ac:dyDescent="0.2">
      <c r="A105" s="283" t="s">
        <v>320</v>
      </c>
      <c r="B105" s="283"/>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row>
    <row r="106" spans="1:24" ht="12.75" customHeight="1" x14ac:dyDescent="0.2">
      <c r="A106" s="259" t="s">
        <v>321</v>
      </c>
      <c r="B106" s="259"/>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row>
    <row r="107" spans="1:24" x14ac:dyDescent="0.2">
      <c r="A107" s="283"/>
      <c r="B107" s="283"/>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row>
    <row r="108" spans="1:24" ht="12.75" customHeight="1" x14ac:dyDescent="0.2">
      <c r="A108" s="276" t="s">
        <v>322</v>
      </c>
      <c r="B108" s="276"/>
      <c r="C108" s="277"/>
      <c r="D108" s="277"/>
      <c r="E108" s="277"/>
      <c r="F108" s="277"/>
      <c r="G108" s="277"/>
      <c r="H108" s="277"/>
      <c r="I108" s="277"/>
      <c r="J108" s="277"/>
      <c r="K108" s="277"/>
      <c r="L108" s="277"/>
      <c r="M108" s="277"/>
      <c r="N108" s="277"/>
      <c r="O108" s="277"/>
      <c r="P108" s="277"/>
      <c r="Q108" s="277"/>
      <c r="R108" s="277"/>
      <c r="S108" s="277"/>
      <c r="T108" s="277"/>
      <c r="U108" s="277"/>
      <c r="V108" s="277"/>
      <c r="W108" s="277"/>
      <c r="X108" s="277"/>
    </row>
    <row r="109" spans="1:24" x14ac:dyDescent="0.2">
      <c r="A109" s="283"/>
      <c r="B109" s="283"/>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row>
    <row r="110" spans="1:24" ht="12.75" customHeight="1" x14ac:dyDescent="0.2">
      <c r="A110" s="259" t="s">
        <v>323</v>
      </c>
      <c r="B110" s="259"/>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row>
    <row r="111" spans="1:24" ht="12.75" customHeight="1" x14ac:dyDescent="0.2">
      <c r="A111" s="259" t="s">
        <v>324</v>
      </c>
      <c r="B111" s="259"/>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row>
    <row r="112" spans="1:24" x14ac:dyDescent="0.2">
      <c r="A112" s="283" t="s">
        <v>325</v>
      </c>
      <c r="B112" s="283"/>
      <c r="C112" s="283"/>
      <c r="D112" s="283"/>
      <c r="E112" s="283"/>
      <c r="F112" s="283"/>
      <c r="G112" s="283"/>
      <c r="H112" s="283"/>
      <c r="I112" s="283"/>
      <c r="J112" s="283"/>
      <c r="K112" s="283"/>
      <c r="L112" s="283"/>
      <c r="M112" s="283"/>
      <c r="N112" s="283"/>
      <c r="O112" s="283"/>
      <c r="P112" s="283"/>
      <c r="Q112" s="283"/>
      <c r="R112" s="283"/>
      <c r="S112" s="283"/>
      <c r="T112" s="283"/>
      <c r="U112" s="283"/>
      <c r="V112" s="283"/>
      <c r="W112" s="283"/>
      <c r="X112" s="283"/>
    </row>
    <row r="127" spans="1:17" ht="12.75" customHeight="1" x14ac:dyDescent="0.2">
      <c r="A127" s="12" t="s">
        <v>49</v>
      </c>
      <c r="E127" s="24" t="s">
        <v>1</v>
      </c>
      <c r="H127" s="64" t="s">
        <v>153</v>
      </c>
      <c r="L127" s="184" t="s">
        <v>226</v>
      </c>
      <c r="O127" s="184"/>
      <c r="P127" s="64" t="s">
        <v>227</v>
      </c>
      <c r="Q127" s="184"/>
    </row>
    <row r="128" spans="1:17" x14ac:dyDescent="0.2">
      <c r="A128" s="12" t="s">
        <v>44</v>
      </c>
      <c r="E128" s="43" t="s">
        <v>133</v>
      </c>
      <c r="F128" s="44">
        <f ca="1">T36</f>
        <v>0.24229999999999999</v>
      </c>
      <c r="G128" s="51"/>
      <c r="H128" s="51" t="s">
        <v>147</v>
      </c>
      <c r="L128" s="184" t="s">
        <v>228</v>
      </c>
      <c r="P128" s="51" t="s">
        <v>220</v>
      </c>
    </row>
    <row r="129" spans="1:16" ht="12.75" customHeight="1" x14ac:dyDescent="0.2">
      <c r="A129" s="12" t="s">
        <v>50</v>
      </c>
      <c r="E129" s="43" t="s">
        <v>134</v>
      </c>
      <c r="F129" s="44" t="str">
        <f ca="1">U36</f>
        <v/>
      </c>
      <c r="G129" s="51"/>
      <c r="H129" s="51" t="s">
        <v>148</v>
      </c>
      <c r="L129" s="184" t="s">
        <v>229</v>
      </c>
      <c r="P129" s="51" t="s">
        <v>230</v>
      </c>
    </row>
    <row r="130" spans="1:16" x14ac:dyDescent="0.2">
      <c r="A130" s="12" t="s">
        <v>51</v>
      </c>
      <c r="E130" s="43" t="s">
        <v>135</v>
      </c>
      <c r="F130" s="44" t="str">
        <f ca="1">V36</f>
        <v/>
      </c>
      <c r="G130" s="51"/>
      <c r="H130" s="51" t="s">
        <v>150</v>
      </c>
      <c r="L130" s="184" t="s">
        <v>231</v>
      </c>
      <c r="P130" s="51" t="s">
        <v>232</v>
      </c>
    </row>
    <row r="131" spans="1:16" ht="12.75" customHeight="1" x14ac:dyDescent="0.2">
      <c r="A131" s="12" t="s">
        <v>52</v>
      </c>
      <c r="E131" s="43" t="s">
        <v>136</v>
      </c>
      <c r="F131" s="44" t="str">
        <f ca="1">W36</f>
        <v/>
      </c>
      <c r="G131" s="51"/>
      <c r="H131" s="51" t="s">
        <v>149</v>
      </c>
      <c r="L131" s="184" t="s">
        <v>233</v>
      </c>
      <c r="P131" s="51" t="s">
        <v>234</v>
      </c>
    </row>
    <row r="132" spans="1:16" x14ac:dyDescent="0.2">
      <c r="A132" s="12" t="s">
        <v>53</v>
      </c>
      <c r="E132" s="43" t="s">
        <v>137</v>
      </c>
      <c r="F132" s="44" t="str">
        <f ca="1">X36</f>
        <v/>
      </c>
      <c r="G132" s="51"/>
      <c r="H132" s="51" t="s">
        <v>151</v>
      </c>
      <c r="L132" s="184" t="s">
        <v>235</v>
      </c>
      <c r="P132" s="51"/>
    </row>
    <row r="133" spans="1:16" ht="12.75" customHeight="1" x14ac:dyDescent="0.2">
      <c r="A133" s="12" t="s">
        <v>54</v>
      </c>
      <c r="H133" s="64"/>
      <c r="L133" s="184" t="s">
        <v>236</v>
      </c>
    </row>
    <row r="134" spans="1:16" x14ac:dyDescent="0.2">
      <c r="A134" s="12" t="s">
        <v>55</v>
      </c>
      <c r="H134" s="64"/>
      <c r="L134" s="184" t="s">
        <v>237</v>
      </c>
    </row>
    <row r="135" spans="1:16" ht="12.75" customHeight="1" x14ac:dyDescent="0.2">
      <c r="A135" s="12" t="s">
        <v>56</v>
      </c>
      <c r="H135" s="64"/>
      <c r="L135" s="184" t="s">
        <v>238</v>
      </c>
      <c r="P135" s="1" t="s">
        <v>273</v>
      </c>
    </row>
    <row r="136" spans="1:16" x14ac:dyDescent="0.2">
      <c r="A136" s="12" t="s">
        <v>57</v>
      </c>
      <c r="H136" s="64"/>
      <c r="L136" s="184" t="s">
        <v>239</v>
      </c>
      <c r="P136" s="1" t="s">
        <v>274</v>
      </c>
    </row>
    <row r="137" spans="1:16" x14ac:dyDescent="0.2">
      <c r="A137" s="12" t="s">
        <v>58</v>
      </c>
      <c r="L137" s="184" t="s">
        <v>240</v>
      </c>
      <c r="P137" s="1" t="s">
        <v>275</v>
      </c>
    </row>
    <row r="138" spans="1:16" x14ac:dyDescent="0.2">
      <c r="A138" s="12" t="s">
        <v>59</v>
      </c>
      <c r="L138" s="184" t="s">
        <v>241</v>
      </c>
      <c r="P138" s="1" t="s">
        <v>276</v>
      </c>
    </row>
    <row r="139" spans="1:16" x14ac:dyDescent="0.2">
      <c r="A139" s="12" t="s">
        <v>60</v>
      </c>
      <c r="L139" s="184" t="s">
        <v>242</v>
      </c>
      <c r="P139" s="1" t="s">
        <v>277</v>
      </c>
    </row>
    <row r="140" spans="1:16" x14ac:dyDescent="0.2">
      <c r="A140" s="12" t="s">
        <v>61</v>
      </c>
      <c r="L140" s="184" t="s">
        <v>243</v>
      </c>
      <c r="P140" s="1" t="s">
        <v>278</v>
      </c>
    </row>
    <row r="141" spans="1:16" x14ac:dyDescent="0.2">
      <c r="A141" s="12" t="s">
        <v>62</v>
      </c>
      <c r="L141" s="184" t="s">
        <v>244</v>
      </c>
    </row>
    <row r="142" spans="1:16" x14ac:dyDescent="0.2">
      <c r="A142" s="12" t="s">
        <v>63</v>
      </c>
      <c r="L142" s="184" t="s">
        <v>245</v>
      </c>
      <c r="P142" s="201" t="s">
        <v>279</v>
      </c>
    </row>
    <row r="143" spans="1:16" x14ac:dyDescent="0.2">
      <c r="A143" s="12" t="s">
        <v>64</v>
      </c>
      <c r="L143" s="184" t="s">
        <v>246</v>
      </c>
      <c r="P143" s="201" t="s">
        <v>280</v>
      </c>
    </row>
    <row r="144" spans="1:16" x14ac:dyDescent="0.2">
      <c r="A144" s="12" t="s">
        <v>65</v>
      </c>
      <c r="L144" s="184" t="s">
        <v>247</v>
      </c>
    </row>
    <row r="145" spans="1:12" x14ac:dyDescent="0.2">
      <c r="A145" s="12" t="s">
        <v>66</v>
      </c>
      <c r="L145" s="184" t="s">
        <v>248</v>
      </c>
    </row>
    <row r="146" spans="1:12" x14ac:dyDescent="0.2">
      <c r="A146" s="12" t="s">
        <v>67</v>
      </c>
      <c r="L146" s="184" t="s">
        <v>249</v>
      </c>
    </row>
    <row r="147" spans="1:12" x14ac:dyDescent="0.2">
      <c r="A147" s="12" t="s">
        <v>68</v>
      </c>
      <c r="L147" s="184" t="s">
        <v>250</v>
      </c>
    </row>
    <row r="148" spans="1:12" x14ac:dyDescent="0.2">
      <c r="A148" s="12" t="s">
        <v>69</v>
      </c>
      <c r="L148" s="184" t="s">
        <v>251</v>
      </c>
    </row>
    <row r="149" spans="1:12" x14ac:dyDescent="0.2">
      <c r="A149" s="12" t="s">
        <v>70</v>
      </c>
      <c r="L149" s="184" t="s">
        <v>252</v>
      </c>
    </row>
    <row r="150" spans="1:12" x14ac:dyDescent="0.2">
      <c r="A150" s="12" t="s">
        <v>71</v>
      </c>
      <c r="L150" s="184" t="s">
        <v>253</v>
      </c>
    </row>
    <row r="151" spans="1:12" x14ac:dyDescent="0.2">
      <c r="A151" s="12" t="s">
        <v>72</v>
      </c>
      <c r="L151" s="184" t="s">
        <v>254</v>
      </c>
    </row>
    <row r="152" spans="1:12" x14ac:dyDescent="0.2">
      <c r="A152" s="12" t="s">
        <v>73</v>
      </c>
      <c r="L152" s="184" t="s">
        <v>219</v>
      </c>
    </row>
    <row r="153" spans="1:12" x14ac:dyDescent="0.2">
      <c r="A153" s="12" t="s">
        <v>74</v>
      </c>
      <c r="L153" s="184" t="s">
        <v>255</v>
      </c>
    </row>
    <row r="154" spans="1:12" x14ac:dyDescent="0.2">
      <c r="A154" s="12" t="s">
        <v>75</v>
      </c>
      <c r="L154" s="184" t="s">
        <v>256</v>
      </c>
    </row>
    <row r="155" spans="1:12" x14ac:dyDescent="0.2">
      <c r="A155" s="12" t="s">
        <v>76</v>
      </c>
    </row>
    <row r="156" spans="1:12" x14ac:dyDescent="0.2">
      <c r="A156" s="12" t="s">
        <v>77</v>
      </c>
    </row>
    <row r="157" spans="1:12" x14ac:dyDescent="0.2">
      <c r="A157" s="12" t="s">
        <v>78</v>
      </c>
    </row>
    <row r="158" spans="1:12" x14ac:dyDescent="0.2">
      <c r="A158" s="12" t="s">
        <v>79</v>
      </c>
    </row>
    <row r="159" spans="1:12" x14ac:dyDescent="0.2">
      <c r="A159" s="12" t="s">
        <v>80</v>
      </c>
    </row>
    <row r="160" spans="1:12" x14ac:dyDescent="0.2">
      <c r="A160" s="12" t="s">
        <v>81</v>
      </c>
    </row>
    <row r="161" spans="1:1" x14ac:dyDescent="0.2">
      <c r="A161" s="12" t="s">
        <v>82</v>
      </c>
    </row>
    <row r="162" spans="1:1" x14ac:dyDescent="0.2">
      <c r="A162" s="12" t="s">
        <v>83</v>
      </c>
    </row>
    <row r="163" spans="1:1" x14ac:dyDescent="0.2">
      <c r="A163" s="12" t="s">
        <v>84</v>
      </c>
    </row>
    <row r="164" spans="1:1" x14ac:dyDescent="0.2">
      <c r="A164" s="12" t="s">
        <v>85</v>
      </c>
    </row>
    <row r="165" spans="1:1" x14ac:dyDescent="0.2">
      <c r="A165" s="12" t="s">
        <v>86</v>
      </c>
    </row>
    <row r="166" spans="1:1" x14ac:dyDescent="0.2">
      <c r="A166" s="12" t="s">
        <v>87</v>
      </c>
    </row>
    <row r="167" spans="1:1" x14ac:dyDescent="0.2">
      <c r="A167" s="12" t="s">
        <v>88</v>
      </c>
    </row>
    <row r="168" spans="1:1" x14ac:dyDescent="0.2">
      <c r="A168" s="12" t="s">
        <v>89</v>
      </c>
    </row>
    <row r="169" spans="1:1" x14ac:dyDescent="0.2">
      <c r="A169" s="12" t="s">
        <v>90</v>
      </c>
    </row>
    <row r="170" spans="1:1" x14ac:dyDescent="0.2">
      <c r="A170" s="12" t="s">
        <v>91</v>
      </c>
    </row>
    <row r="171" spans="1:1" x14ac:dyDescent="0.2">
      <c r="A171" s="12" t="s">
        <v>92</v>
      </c>
    </row>
    <row r="172" spans="1:1" x14ac:dyDescent="0.2">
      <c r="A172" s="12" t="s">
        <v>93</v>
      </c>
    </row>
    <row r="173" spans="1:1" x14ac:dyDescent="0.2">
      <c r="A173" s="12" t="s">
        <v>94</v>
      </c>
    </row>
    <row r="174" spans="1:1" x14ac:dyDescent="0.2">
      <c r="A174" s="12" t="s">
        <v>95</v>
      </c>
    </row>
    <row r="175" spans="1:1" x14ac:dyDescent="0.2">
      <c r="A175" s="12" t="s">
        <v>96</v>
      </c>
    </row>
    <row r="176" spans="1:1" x14ac:dyDescent="0.2">
      <c r="A176" s="12" t="s">
        <v>97</v>
      </c>
    </row>
    <row r="177" spans="1:1" x14ac:dyDescent="0.2">
      <c r="A177" s="12" t="s">
        <v>98</v>
      </c>
    </row>
    <row r="178" spans="1:1" x14ac:dyDescent="0.2">
      <c r="A178" s="12" t="s">
        <v>99</v>
      </c>
    </row>
    <row r="179" spans="1:1" x14ac:dyDescent="0.2">
      <c r="A179" s="12" t="s">
        <v>100</v>
      </c>
    </row>
    <row r="180" spans="1:1" x14ac:dyDescent="0.2">
      <c r="A180" s="12" t="s">
        <v>101</v>
      </c>
    </row>
    <row r="181" spans="1:1" x14ac:dyDescent="0.2">
      <c r="A181" s="12" t="s">
        <v>102</v>
      </c>
    </row>
    <row r="182" spans="1:1" x14ac:dyDescent="0.2">
      <c r="A182" s="12" t="s">
        <v>103</v>
      </c>
    </row>
    <row r="183" spans="1:1" x14ac:dyDescent="0.2">
      <c r="A183" s="12" t="s">
        <v>104</v>
      </c>
    </row>
    <row r="184" spans="1:1" x14ac:dyDescent="0.2">
      <c r="A184" s="12" t="s">
        <v>105</v>
      </c>
    </row>
    <row r="185" spans="1:1" x14ac:dyDescent="0.2">
      <c r="A185" s="12" t="s">
        <v>106</v>
      </c>
    </row>
    <row r="186" spans="1:1" x14ac:dyDescent="0.2">
      <c r="A186" s="12" t="s">
        <v>107</v>
      </c>
    </row>
    <row r="187" spans="1:1" x14ac:dyDescent="0.2">
      <c r="A187" s="12" t="s">
        <v>108</v>
      </c>
    </row>
    <row r="188" spans="1:1" x14ac:dyDescent="0.2">
      <c r="A188" s="12" t="s">
        <v>109</v>
      </c>
    </row>
    <row r="189" spans="1:1" x14ac:dyDescent="0.2">
      <c r="A189" s="12" t="s">
        <v>110</v>
      </c>
    </row>
    <row r="190" spans="1:1" x14ac:dyDescent="0.2">
      <c r="A190" s="12" t="s">
        <v>111</v>
      </c>
    </row>
    <row r="191" spans="1:1" x14ac:dyDescent="0.2">
      <c r="A191" s="12" t="s">
        <v>112</v>
      </c>
    </row>
    <row r="192" spans="1:1" x14ac:dyDescent="0.2">
      <c r="A192" s="12" t="s">
        <v>113</v>
      </c>
    </row>
    <row r="193" spans="1:1" x14ac:dyDescent="0.2">
      <c r="A193" s="12" t="s">
        <v>114</v>
      </c>
    </row>
    <row r="194" spans="1:1" x14ac:dyDescent="0.2">
      <c r="A194" s="12" t="s">
        <v>115</v>
      </c>
    </row>
    <row r="195" spans="1:1" x14ac:dyDescent="0.2">
      <c r="A195" s="12" t="s">
        <v>116</v>
      </c>
    </row>
    <row r="196" spans="1:1" x14ac:dyDescent="0.2">
      <c r="A196" s="12" t="s">
        <v>117</v>
      </c>
    </row>
    <row r="197" spans="1:1" x14ac:dyDescent="0.2">
      <c r="A197" s="12" t="s">
        <v>118</v>
      </c>
    </row>
    <row r="198" spans="1:1" x14ac:dyDescent="0.2">
      <c r="A198" s="12" t="s">
        <v>119</v>
      </c>
    </row>
    <row r="199" spans="1:1" x14ac:dyDescent="0.2">
      <c r="A199" s="12" t="s">
        <v>120</v>
      </c>
    </row>
    <row r="200" spans="1:1" x14ac:dyDescent="0.2">
      <c r="A200" s="12" t="s">
        <v>121</v>
      </c>
    </row>
    <row r="240" spans="1:24" ht="12.75" customHeight="1" x14ac:dyDescent="0.2">
      <c r="A240" s="236" t="s">
        <v>16</v>
      </c>
      <c r="B240" s="238"/>
      <c r="C240" s="236" t="s">
        <v>138</v>
      </c>
      <c r="D240" s="238"/>
      <c r="E240" s="236" t="s">
        <v>10</v>
      </c>
      <c r="F240" s="237"/>
      <c r="G240" s="238"/>
      <c r="H240" s="236" t="s">
        <v>41</v>
      </c>
      <c r="I240" s="237"/>
      <c r="J240" s="237"/>
      <c r="K240" s="238"/>
      <c r="L240" s="236" t="s">
        <v>42</v>
      </c>
      <c r="M240" s="237"/>
      <c r="N240" s="237"/>
      <c r="O240" s="237"/>
      <c r="P240" s="238"/>
      <c r="Q240" s="236" t="s">
        <v>43</v>
      </c>
      <c r="R240" s="237"/>
      <c r="S240" s="237"/>
      <c r="T240" s="237"/>
      <c r="U240" s="237"/>
      <c r="V240" s="238"/>
      <c r="W240" s="267" t="s">
        <v>145</v>
      </c>
      <c r="X240" s="268"/>
    </row>
    <row r="241" spans="1:24" ht="12.75" customHeight="1" x14ac:dyDescent="0.2">
      <c r="A241" s="253" t="str">
        <f>IF(A23="","",A23)</f>
        <v/>
      </c>
      <c r="B241" s="255"/>
      <c r="C241" s="253" t="str">
        <f>IF(C23="","",C23)</f>
        <v/>
      </c>
      <c r="D241" s="255"/>
      <c r="E241" s="269" t="str">
        <f>IF(E23="","",E23)</f>
        <v>PC - POCOS DE CALDAS</v>
      </c>
      <c r="F241" s="270"/>
      <c r="G241" s="271" t="str">
        <f>IF(G23="","",G23)</f>
        <v/>
      </c>
      <c r="H241" s="253" t="str">
        <f>IF(H23="","",H23)</f>
        <v/>
      </c>
      <c r="I241" s="254" t="str">
        <f>IF(I23="","",I23)</f>
        <v/>
      </c>
      <c r="J241" s="254"/>
      <c r="K241" s="255" t="str">
        <f>IF(K23="","",K23)</f>
        <v/>
      </c>
      <c r="L241" s="253" t="str">
        <f>IF(L23="","",L23)</f>
        <v/>
      </c>
      <c r="M241" s="254" t="str">
        <f>IF(M23="","",M23)</f>
        <v/>
      </c>
      <c r="N241" s="254"/>
      <c r="O241" s="254" t="str">
        <f>IF(O23="","",O23)</f>
        <v/>
      </c>
      <c r="P241" s="255"/>
      <c r="Q241" s="253" t="str">
        <f>IF(Q23="","",Q23)</f>
        <v>APERFEIÇOAMENTO SUS - ESTR. ATENÇÃO ESP SAUDE</v>
      </c>
      <c r="R241" s="254"/>
      <c r="S241" s="254" t="str">
        <f>IF(S23="","",S23)</f>
        <v/>
      </c>
      <c r="T241" s="254"/>
      <c r="U241" s="254" t="str">
        <f>IF(U23="","",U23)</f>
        <v/>
      </c>
      <c r="V241" s="255"/>
      <c r="W241" s="244">
        <f>IF(W23="","",W23)</f>
        <v>42963</v>
      </c>
      <c r="X241" s="245"/>
    </row>
    <row r="242" spans="1:24" ht="6" customHeight="1" x14ac:dyDescent="0.2">
      <c r="A242" s="3"/>
      <c r="B242" s="3"/>
      <c r="C242" s="3"/>
      <c r="D242" s="3"/>
      <c r="E242" s="3"/>
      <c r="F242" s="3"/>
      <c r="G242" s="3"/>
      <c r="H242" s="3"/>
      <c r="I242" s="3"/>
      <c r="J242" s="3"/>
      <c r="K242" s="3"/>
      <c r="L242" s="3"/>
      <c r="M242" s="3"/>
      <c r="N242" s="3"/>
      <c r="O242" s="3"/>
      <c r="P242" s="3"/>
      <c r="Q242" s="3"/>
      <c r="R242" s="3"/>
      <c r="S242" s="3"/>
      <c r="T242" s="3"/>
      <c r="U242" s="3"/>
      <c r="V242" s="3"/>
    </row>
    <row r="243" spans="1:24" x14ac:dyDescent="0.2">
      <c r="A243" s="236" t="s">
        <v>45</v>
      </c>
      <c r="B243" s="237"/>
      <c r="C243" s="237"/>
      <c r="D243" s="237"/>
      <c r="E243" s="237"/>
      <c r="F243" s="237"/>
      <c r="G243" s="238"/>
      <c r="H243" s="236" t="s">
        <v>46</v>
      </c>
      <c r="I243" s="237"/>
      <c r="J243" s="237"/>
      <c r="K243" s="238"/>
      <c r="L243" s="236" t="s">
        <v>47</v>
      </c>
      <c r="M243" s="237"/>
      <c r="N243" s="237"/>
      <c r="O243" s="237"/>
      <c r="P243" s="238"/>
      <c r="Q243" s="236" t="s">
        <v>48</v>
      </c>
      <c r="R243" s="237"/>
      <c r="S243" s="237"/>
      <c r="T243" s="237"/>
      <c r="U243" s="237"/>
      <c r="V243" s="237"/>
      <c r="W243" s="237"/>
      <c r="X243" s="238"/>
    </row>
    <row r="244" spans="1:24" x14ac:dyDescent="0.2">
      <c r="A244" s="264" t="str">
        <f>IF(A26="","",A26)</f>
        <v>PREFEITURA MUNICIPAL DE CONCEIÇÃO DO RIO VERDE - MG</v>
      </c>
      <c r="B244" s="265"/>
      <c r="C244" s="265" t="str">
        <f>IF(C26="","",C26)</f>
        <v/>
      </c>
      <c r="D244" s="265"/>
      <c r="E244" s="265" t="str">
        <f>IF(E26="","",E26)</f>
        <v/>
      </c>
      <c r="F244" s="265"/>
      <c r="G244" s="266" t="str">
        <f>IF(G26="","",G26)</f>
        <v/>
      </c>
      <c r="H244" s="253" t="str">
        <f>IF(H26="","",H26)</f>
        <v>CONCEIÇÃO DO RIO VERDE - M.G</v>
      </c>
      <c r="I244" s="254" t="str">
        <f>IF(I26="","",I26)</f>
        <v/>
      </c>
      <c r="J244" s="254"/>
      <c r="K244" s="255" t="str">
        <f>IF(K26="","",K26)</f>
        <v/>
      </c>
      <c r="L244" s="253" t="str">
        <f>IF(L26="","",L26)</f>
        <v>Conceição do Rio Verde</v>
      </c>
      <c r="M244" s="254" t="str">
        <f>IF(M26="","",M26)</f>
        <v/>
      </c>
      <c r="N244" s="254"/>
      <c r="O244" s="254" t="str">
        <f>IF(O26="","",O26)</f>
        <v/>
      </c>
      <c r="P244" s="255"/>
      <c r="Q244" s="253" t="str">
        <f>IF(Q26="","",Q26)</f>
        <v>PAVIMENTAÇÃO ASFALTICA PROLONG. RUA JOSÉ DE MATOS E RUA TRÊS</v>
      </c>
      <c r="R244" s="254"/>
      <c r="S244" s="254" t="str">
        <f>IF(S26="","",S26)</f>
        <v/>
      </c>
      <c r="T244" s="254"/>
      <c r="U244" s="254" t="str">
        <f>IF(U26="","",U26)</f>
        <v/>
      </c>
      <c r="V244" s="254"/>
      <c r="W244" s="254" t="str">
        <f>IF(W26="","",W26)</f>
        <v/>
      </c>
      <c r="X244" s="255"/>
    </row>
    <row r="245" spans="1:24" ht="6" customHeight="1" x14ac:dyDescent="0.2">
      <c r="A245" s="3"/>
      <c r="B245" s="3"/>
      <c r="C245" s="3"/>
      <c r="D245" s="3"/>
      <c r="E245" s="3"/>
      <c r="F245" s="3"/>
      <c r="G245" s="3"/>
      <c r="H245" s="3"/>
      <c r="I245" s="3"/>
      <c r="J245" s="3"/>
      <c r="K245" s="3"/>
      <c r="L245" s="3"/>
      <c r="M245" s="3"/>
      <c r="N245" s="3"/>
      <c r="O245" s="3"/>
      <c r="P245" s="3"/>
      <c r="Q245" s="3"/>
      <c r="R245" s="3"/>
      <c r="S245" s="3"/>
      <c r="T245" s="3"/>
      <c r="U245" s="3"/>
      <c r="V245" s="3"/>
    </row>
    <row r="246" spans="1:24" x14ac:dyDescent="0.2">
      <c r="A246" s="236" t="s">
        <v>146</v>
      </c>
      <c r="B246" s="238"/>
      <c r="C246" s="195" t="s">
        <v>266</v>
      </c>
      <c r="D246" s="236" t="s">
        <v>143</v>
      </c>
      <c r="E246" s="237"/>
      <c r="F246" s="238"/>
      <c r="G246" s="236" t="s">
        <v>141</v>
      </c>
      <c r="H246" s="237"/>
      <c r="I246" s="237"/>
      <c r="J246" s="237"/>
      <c r="K246" s="237"/>
      <c r="L246" s="237"/>
      <c r="M246" s="237"/>
      <c r="N246" s="237"/>
      <c r="O246" s="237"/>
      <c r="P246" s="237"/>
      <c r="Q246" s="237"/>
      <c r="R246" s="237"/>
      <c r="S246" s="238"/>
      <c r="T246" s="198" t="s">
        <v>133</v>
      </c>
      <c r="U246" s="198" t="s">
        <v>134</v>
      </c>
      <c r="V246" s="198" t="s">
        <v>135</v>
      </c>
      <c r="W246" s="198" t="s">
        <v>136</v>
      </c>
      <c r="X246" s="198" t="s">
        <v>137</v>
      </c>
    </row>
    <row r="247" spans="1:24" x14ac:dyDescent="0.2">
      <c r="A247" s="244">
        <f>IF(A36="","",A36)</f>
        <v>42293</v>
      </c>
      <c r="B247" s="245"/>
      <c r="C247" s="203" t="str">
        <f t="shared" ref="C247:X247" si="0">IF(C36="","",C36)</f>
        <v>Sim</v>
      </c>
      <c r="D247" s="230" t="str">
        <f t="shared" si="0"/>
        <v>Belo Horizonte / MG</v>
      </c>
      <c r="E247" s="241" t="str">
        <f t="shared" si="0"/>
        <v/>
      </c>
      <c r="F247" s="231" t="str">
        <f t="shared" si="0"/>
        <v/>
      </c>
      <c r="G247" s="230" t="str">
        <f t="shared" si="0"/>
        <v/>
      </c>
      <c r="H247" s="241" t="str">
        <f t="shared" si="0"/>
        <v/>
      </c>
      <c r="I247" s="241" t="str">
        <f t="shared" si="0"/>
        <v/>
      </c>
      <c r="J247" s="241" t="str">
        <f t="shared" si="0"/>
        <v/>
      </c>
      <c r="K247" s="241" t="str">
        <f t="shared" si="0"/>
        <v/>
      </c>
      <c r="L247" s="241" t="str">
        <f t="shared" si="0"/>
        <v/>
      </c>
      <c r="M247" s="241" t="str">
        <f t="shared" si="0"/>
        <v/>
      </c>
      <c r="N247" s="241" t="str">
        <f t="shared" si="0"/>
        <v/>
      </c>
      <c r="O247" s="241" t="str">
        <f t="shared" si="0"/>
        <v/>
      </c>
      <c r="P247" s="241" t="str">
        <f t="shared" si="0"/>
        <v/>
      </c>
      <c r="Q247" s="241" t="str">
        <f t="shared" si="0"/>
        <v/>
      </c>
      <c r="R247" s="241" t="str">
        <f t="shared" si="0"/>
        <v/>
      </c>
      <c r="S247" s="231" t="str">
        <f t="shared" si="0"/>
        <v/>
      </c>
      <c r="T247" s="204">
        <f t="shared" ca="1" si="0"/>
        <v>0.24229999999999999</v>
      </c>
      <c r="U247" s="205" t="str">
        <f t="shared" ca="1" si="0"/>
        <v/>
      </c>
      <c r="V247" s="205" t="str">
        <f t="shared" ca="1" si="0"/>
        <v/>
      </c>
      <c r="W247" s="205" t="str">
        <f t="shared" ca="1" si="0"/>
        <v/>
      </c>
      <c r="X247" s="205" t="str">
        <f t="shared" ca="1" si="0"/>
        <v/>
      </c>
    </row>
    <row r="248" spans="1:24" ht="6" hidden="1" customHeight="1" x14ac:dyDescent="0.2">
      <c r="A248" s="3"/>
      <c r="B248" s="3"/>
      <c r="C248" s="3"/>
      <c r="D248" s="3"/>
      <c r="E248" s="3"/>
      <c r="F248" s="3"/>
      <c r="G248" s="3"/>
      <c r="H248" s="3"/>
      <c r="I248" s="3"/>
      <c r="J248" s="3"/>
      <c r="K248" s="3"/>
      <c r="L248" s="3"/>
      <c r="M248" s="3"/>
      <c r="N248" s="3"/>
      <c r="O248" s="3"/>
      <c r="P248" s="3"/>
      <c r="Q248" s="3"/>
      <c r="R248" s="3"/>
      <c r="S248" s="3"/>
      <c r="T248" s="3"/>
      <c r="U248" s="3"/>
      <c r="V248" s="3"/>
    </row>
    <row r="249" spans="1:24" hidden="1" x14ac:dyDescent="0.2">
      <c r="A249" s="236" t="s">
        <v>260</v>
      </c>
      <c r="B249" s="238"/>
      <c r="C249" s="236" t="s">
        <v>261</v>
      </c>
      <c r="D249" s="237"/>
      <c r="E249" s="237"/>
      <c r="F249" s="237"/>
      <c r="G249" s="237"/>
      <c r="H249" s="236" t="s">
        <v>263</v>
      </c>
      <c r="I249" s="237"/>
      <c r="J249" s="48" t="s">
        <v>266</v>
      </c>
      <c r="K249" s="236" t="s">
        <v>262</v>
      </c>
      <c r="L249" s="237"/>
      <c r="M249" s="238"/>
      <c r="N249" s="48" t="s">
        <v>267</v>
      </c>
      <c r="O249" s="236" t="s">
        <v>268</v>
      </c>
      <c r="P249" s="237"/>
      <c r="Q249" s="237"/>
      <c r="R249" s="237"/>
      <c r="S249" s="237"/>
      <c r="T249" s="238"/>
      <c r="U249" s="239" t="s">
        <v>264</v>
      </c>
      <c r="V249" s="240"/>
      <c r="W249" s="239" t="s">
        <v>265</v>
      </c>
      <c r="X249" s="240"/>
    </row>
    <row r="250" spans="1:24" ht="12.75" hidden="1" customHeight="1" x14ac:dyDescent="0.2">
      <c r="A250" s="230" t="str">
        <f>IF(A41="","",A41)</f>
        <v/>
      </c>
      <c r="B250" s="231"/>
      <c r="C250" s="230" t="str">
        <f>IF(C41="","",C41)</f>
        <v/>
      </c>
      <c r="D250" s="241"/>
      <c r="E250" s="241" t="str">
        <f>IF(E41="","",E41)</f>
        <v/>
      </c>
      <c r="F250" s="241"/>
      <c r="G250" s="241" t="str">
        <f>IF(G41="","",G41)</f>
        <v/>
      </c>
      <c r="H250" s="232" t="str">
        <f>IF(H41="","",H41)</f>
        <v/>
      </c>
      <c r="I250" s="242" t="str">
        <f>IF(I41="","",I41)</f>
        <v/>
      </c>
      <c r="J250" s="206" t="str">
        <f>IF(J41="","",J41)</f>
        <v>Sim</v>
      </c>
      <c r="K250" s="232" t="str">
        <f>IF(K41="","",K41)</f>
        <v/>
      </c>
      <c r="L250" s="243"/>
      <c r="M250" s="235" t="str">
        <f>IF(M41="","",M41)</f>
        <v/>
      </c>
      <c r="N250" s="207" t="str">
        <f>IF(N41="","",N41)</f>
        <v/>
      </c>
      <c r="O250" s="232" t="str">
        <f>IF(O41="","",O41)</f>
        <v/>
      </c>
      <c r="P250" s="242"/>
      <c r="Q250" s="242" t="str">
        <f>IF(Q41="","",Q41)</f>
        <v/>
      </c>
      <c r="R250" s="243"/>
      <c r="S250" s="243" t="str">
        <f>IF(S41="","",S41)</f>
        <v/>
      </c>
      <c r="T250" s="235"/>
      <c r="U250" s="232" t="str">
        <f>IF(U41="","",U41)</f>
        <v/>
      </c>
      <c r="V250" s="233"/>
      <c r="W250" s="234" t="str">
        <f>IF(W41="","",W41)</f>
        <v/>
      </c>
      <c r="X250" s="235"/>
    </row>
    <row r="251" spans="1:24" s="38" customFormat="1" x14ac:dyDescent="0.2">
      <c r="A251" s="39"/>
      <c r="B251" s="39"/>
      <c r="F251" s="40"/>
      <c r="G251" s="40"/>
      <c r="H251" s="40"/>
    </row>
    <row r="252" spans="1:24" customFormat="1" x14ac:dyDescent="0.2"/>
    <row r="253" spans="1:24" customFormat="1" ht="6" customHeight="1" x14ac:dyDescent="0.2"/>
    <row r="254" spans="1:24" customFormat="1" x14ac:dyDescent="0.2"/>
    <row r="255" spans="1:24" customFormat="1" x14ac:dyDescent="0.2"/>
    <row r="256" spans="1:24" customFormat="1" x14ac:dyDescent="0.2"/>
    <row r="257" customFormat="1" ht="12.75" hidden="1" customHeight="1" x14ac:dyDescent="0.2"/>
    <row r="258" customFormat="1" ht="6" hidden="1" customHeight="1" x14ac:dyDescent="0.2"/>
    <row r="259" customFormat="1" ht="12.75" hidden="1" customHeight="1" x14ac:dyDescent="0.2"/>
    <row r="260" customFormat="1" ht="12.75" hidden="1" customHeight="1" x14ac:dyDescent="0.2"/>
    <row r="261" customFormat="1" ht="6" hidden="1" customHeight="1" x14ac:dyDescent="0.2"/>
    <row r="262" customFormat="1" ht="12.75" hidden="1" customHeight="1" x14ac:dyDescent="0.2"/>
    <row r="263" customFormat="1" ht="12.75" hidden="1" customHeight="1" x14ac:dyDescent="0.2"/>
    <row r="264" customFormat="1" ht="12.75" hidden="1" customHeight="1" x14ac:dyDescent="0.2"/>
    <row r="265" customFormat="1" ht="12.75" customHeight="1" x14ac:dyDescent="0.2"/>
    <row r="266" customFormat="1" ht="6" customHeight="1" x14ac:dyDescent="0.2"/>
    <row r="267" customFormat="1" ht="12.75" customHeight="1" x14ac:dyDescent="0.2"/>
    <row r="268" customFormat="1" ht="12.75" customHeight="1" x14ac:dyDescent="0.2"/>
    <row r="269" customFormat="1" ht="12.75" customHeight="1" x14ac:dyDescent="0.2"/>
    <row r="270" customFormat="1" ht="12.75" customHeight="1" x14ac:dyDescent="0.2"/>
    <row r="271" customFormat="1" ht="6" customHeight="1" x14ac:dyDescent="0.2"/>
    <row r="272" customFormat="1" x14ac:dyDescent="0.2"/>
    <row r="273" customFormat="1" x14ac:dyDescent="0.2"/>
    <row r="274" customFormat="1" x14ac:dyDescent="0.2"/>
    <row r="275" customFormat="1" x14ac:dyDescent="0.2"/>
    <row r="276" customFormat="1" x14ac:dyDescent="0.2"/>
    <row r="277" customFormat="1" x14ac:dyDescent="0.2"/>
  </sheetData>
  <sheetProtection password="E005" sheet="1" objects="1" scenarios="1" autoFilter="0"/>
  <mergeCells count="175">
    <mergeCell ref="D247:F247"/>
    <mergeCell ref="G247:S247"/>
    <mergeCell ref="A48:X48"/>
    <mergeCell ref="A109:X109"/>
    <mergeCell ref="A110:X110"/>
    <mergeCell ref="A111:X111"/>
    <mergeCell ref="A94:X94"/>
    <mergeCell ref="B57:E57"/>
    <mergeCell ref="H57:K57"/>
    <mergeCell ref="B59:E59"/>
    <mergeCell ref="H59:K59"/>
    <mergeCell ref="N59:Q59"/>
    <mergeCell ref="T59:W59"/>
    <mergeCell ref="N54:Q54"/>
    <mergeCell ref="T54:W54"/>
    <mergeCell ref="B55:E55"/>
    <mergeCell ref="N58:Q58"/>
    <mergeCell ref="T58:W58"/>
    <mergeCell ref="B58:E58"/>
    <mergeCell ref="N56:Q56"/>
    <mergeCell ref="T56:W56"/>
    <mergeCell ref="B54:E54"/>
    <mergeCell ref="H54:K54"/>
    <mergeCell ref="N57:Q57"/>
    <mergeCell ref="D246:F246"/>
    <mergeCell ref="G246:S246"/>
    <mergeCell ref="T57:W57"/>
    <mergeCell ref="B56:E56"/>
    <mergeCell ref="H56:K56"/>
    <mergeCell ref="A107:X107"/>
    <mergeCell ref="A102:X102"/>
    <mergeCell ref="A104:X104"/>
    <mergeCell ref="A105:X105"/>
    <mergeCell ref="H58:K58"/>
    <mergeCell ref="A78:X78"/>
    <mergeCell ref="A79:X79"/>
    <mergeCell ref="A92:X92"/>
    <mergeCell ref="A87:X87"/>
    <mergeCell ref="A82:X82"/>
    <mergeCell ref="A83:X83"/>
    <mergeCell ref="A91:X91"/>
    <mergeCell ref="A89:X89"/>
    <mergeCell ref="A90:X90"/>
    <mergeCell ref="A86:X86"/>
    <mergeCell ref="A88:X88"/>
    <mergeCell ref="A98:X98"/>
    <mergeCell ref="A100:X100"/>
    <mergeCell ref="A240:B240"/>
    <mergeCell ref="A1:X2"/>
    <mergeCell ref="A4:X4"/>
    <mergeCell ref="A6:X6"/>
    <mergeCell ref="A8:X8"/>
    <mergeCell ref="A10:X10"/>
    <mergeCell ref="A22:B22"/>
    <mergeCell ref="C22:D22"/>
    <mergeCell ref="A12:X12"/>
    <mergeCell ref="A18:X18"/>
    <mergeCell ref="A20:X20"/>
    <mergeCell ref="H23:K23"/>
    <mergeCell ref="L23:P23"/>
    <mergeCell ref="A33:X33"/>
    <mergeCell ref="A14:X14"/>
    <mergeCell ref="A16:X16"/>
    <mergeCell ref="E22:G22"/>
    <mergeCell ref="W22:X22"/>
    <mergeCell ref="E23:G23"/>
    <mergeCell ref="A25:G25"/>
    <mergeCell ref="H25:K25"/>
    <mergeCell ref="A23:B23"/>
    <mergeCell ref="Q22:V22"/>
    <mergeCell ref="H22:K22"/>
    <mergeCell ref="A28:X28"/>
    <mergeCell ref="L22:P22"/>
    <mergeCell ref="Q23:V23"/>
    <mergeCell ref="W23:X23"/>
    <mergeCell ref="A31:D31"/>
    <mergeCell ref="A64:X64"/>
    <mergeCell ref="A66:X66"/>
    <mergeCell ref="A65:X65"/>
    <mergeCell ref="B53:E53"/>
    <mergeCell ref="B52:E52"/>
    <mergeCell ref="N52:Q52"/>
    <mergeCell ref="H52:K52"/>
    <mergeCell ref="A85:X85"/>
    <mergeCell ref="A84:X84"/>
    <mergeCell ref="A67:X67"/>
    <mergeCell ref="A68:X68"/>
    <mergeCell ref="A69:X69"/>
    <mergeCell ref="A80:X80"/>
    <mergeCell ref="A71:X71"/>
    <mergeCell ref="A73:X73"/>
    <mergeCell ref="A74:X74"/>
    <mergeCell ref="W40:X40"/>
    <mergeCell ref="T55:W55"/>
    <mergeCell ref="C41:G41"/>
    <mergeCell ref="C23:D23"/>
    <mergeCell ref="C240:D240"/>
    <mergeCell ref="Q240:V240"/>
    <mergeCell ref="A108:X108"/>
    <mergeCell ref="A112:X112"/>
    <mergeCell ref="A106:X106"/>
    <mergeCell ref="H240:K240"/>
    <mergeCell ref="A93:X93"/>
    <mergeCell ref="L25:P25"/>
    <mergeCell ref="Q25:X25"/>
    <mergeCell ref="A26:G26"/>
    <mergeCell ref="H26:K26"/>
    <mergeCell ref="L26:P26"/>
    <mergeCell ref="Q26:X26"/>
    <mergeCell ref="A75:X75"/>
    <mergeCell ref="A76:X76"/>
    <mergeCell ref="A77:X77"/>
    <mergeCell ref="A38:X38"/>
    <mergeCell ref="G35:S35"/>
    <mergeCell ref="N55:Q55"/>
    <mergeCell ref="H55:K55"/>
    <mergeCell ref="A96:X96"/>
    <mergeCell ref="K41:M41"/>
    <mergeCell ref="H249:I249"/>
    <mergeCell ref="K249:M249"/>
    <mergeCell ref="O249:T249"/>
    <mergeCell ref="L243:P243"/>
    <mergeCell ref="Q243:X243"/>
    <mergeCell ref="A244:G244"/>
    <mergeCell ref="W240:X240"/>
    <mergeCell ref="A241:B241"/>
    <mergeCell ref="C241:D241"/>
    <mergeCell ref="E241:G241"/>
    <mergeCell ref="H241:K241"/>
    <mergeCell ref="L241:P241"/>
    <mergeCell ref="Q241:V241"/>
    <mergeCell ref="W241:X241"/>
    <mergeCell ref="E240:G240"/>
    <mergeCell ref="H243:K243"/>
    <mergeCell ref="W41:X41"/>
    <mergeCell ref="U41:V41"/>
    <mergeCell ref="A62:X62"/>
    <mergeCell ref="A43:X43"/>
    <mergeCell ref="A46:C46"/>
    <mergeCell ref="H53:K53"/>
    <mergeCell ref="A35:B35"/>
    <mergeCell ref="D35:F35"/>
    <mergeCell ref="A247:B247"/>
    <mergeCell ref="A246:B246"/>
    <mergeCell ref="C40:G40"/>
    <mergeCell ref="L240:P240"/>
    <mergeCell ref="A36:B36"/>
    <mergeCell ref="D36:F36"/>
    <mergeCell ref="H40:I40"/>
    <mergeCell ref="K40:M40"/>
    <mergeCell ref="O40:T40"/>
    <mergeCell ref="A40:B40"/>
    <mergeCell ref="G36:S36"/>
    <mergeCell ref="H41:I41"/>
    <mergeCell ref="H244:K244"/>
    <mergeCell ref="L244:P244"/>
    <mergeCell ref="Q244:X244"/>
    <mergeCell ref="A243:G243"/>
    <mergeCell ref="U40:V40"/>
    <mergeCell ref="T52:W52"/>
    <mergeCell ref="T53:W53"/>
    <mergeCell ref="N53:Q53"/>
    <mergeCell ref="A41:B41"/>
    <mergeCell ref="O41:T41"/>
    <mergeCell ref="A250:B250"/>
    <mergeCell ref="U250:V250"/>
    <mergeCell ref="W250:X250"/>
    <mergeCell ref="C249:G249"/>
    <mergeCell ref="A249:B249"/>
    <mergeCell ref="U249:V249"/>
    <mergeCell ref="C250:G250"/>
    <mergeCell ref="H250:I250"/>
    <mergeCell ref="K250:M250"/>
    <mergeCell ref="W249:X249"/>
    <mergeCell ref="O250:T250"/>
  </mergeCells>
  <phoneticPr fontId="25" type="noConversion"/>
  <conditionalFormatting sqref="G51:K52 G55:K55 G53:H54">
    <cfRule type="expression" dxfId="111" priority="39" stopIfTrue="1">
      <formula>$K$50&lt;&gt;"SIM"</formula>
    </cfRule>
  </conditionalFormatting>
  <conditionalFormatting sqref="M51:Q53 M55:Q55 M54:N54">
    <cfRule type="expression" dxfId="110" priority="40" stopIfTrue="1">
      <formula>$Q$50&lt;&gt;"SIM"</formula>
    </cfRule>
  </conditionalFormatting>
  <conditionalFormatting sqref="S51:W53 S55:W55 S54:T54">
    <cfRule type="expression" dxfId="109" priority="41" stopIfTrue="1">
      <formula>$W$50&lt;&gt;"SIM"</formula>
    </cfRule>
  </conditionalFormatting>
  <conditionalFormatting sqref="A23:D23 A31 A46 T36">
    <cfRule type="expression" dxfId="108" priority="44" stopIfTrue="1">
      <formula>A23&lt;&gt;""</formula>
    </cfRule>
  </conditionalFormatting>
  <conditionalFormatting sqref="H52:K52 H55:K55 H53:H54">
    <cfRule type="expression" dxfId="107" priority="45" stopIfTrue="1">
      <formula>H52&lt;&gt;""</formula>
    </cfRule>
  </conditionalFormatting>
  <conditionalFormatting sqref="N52:Q53 N55:Q55 N54">
    <cfRule type="expression" dxfId="106" priority="43" stopIfTrue="1">
      <formula>$N52&lt;&gt;""</formula>
    </cfRule>
  </conditionalFormatting>
  <conditionalFormatting sqref="T52:W53 T55:W55 T54">
    <cfRule type="expression" dxfId="105" priority="42" stopIfTrue="1">
      <formula>$T52&lt;&gt;""</formula>
    </cfRule>
  </conditionalFormatting>
  <conditionalFormatting sqref="B52:E53 B55:E55 B54">
    <cfRule type="expression" dxfId="104" priority="38" stopIfTrue="1">
      <formula>$B52&lt;&gt;""</formula>
    </cfRule>
  </conditionalFormatting>
  <conditionalFormatting sqref="Q23:X23">
    <cfRule type="expression" dxfId="103" priority="36" stopIfTrue="1">
      <formula>Q23&lt;&gt;""</formula>
    </cfRule>
  </conditionalFormatting>
  <conditionalFormatting sqref="E23:G23">
    <cfRule type="expression" dxfId="102" priority="35" stopIfTrue="1">
      <formula>E23&lt;&gt;""</formula>
    </cfRule>
  </conditionalFormatting>
  <conditionalFormatting sqref="L23:P23">
    <cfRule type="expression" dxfId="101" priority="34" stopIfTrue="1">
      <formula>L23&lt;&gt;""</formula>
    </cfRule>
  </conditionalFormatting>
  <conditionalFormatting sqref="H23:K23">
    <cfRule type="expression" dxfId="100" priority="33" stopIfTrue="1">
      <formula>H23&lt;&gt;""</formula>
    </cfRule>
  </conditionalFormatting>
  <conditionalFormatting sqref="A26:X26">
    <cfRule type="expression" dxfId="99" priority="32" stopIfTrue="1">
      <formula>A26&lt;&gt;""</formula>
    </cfRule>
  </conditionalFormatting>
  <conditionalFormatting sqref="A241:X250">
    <cfRule type="expression" dxfId="98" priority="31" stopIfTrue="1">
      <formula>A241&lt;&gt;""</formula>
    </cfRule>
  </conditionalFormatting>
  <conditionalFormatting sqref="A36:C36">
    <cfRule type="expression" dxfId="97" priority="14" stopIfTrue="1">
      <formula>A36&lt;&gt;""</formula>
    </cfRule>
  </conditionalFormatting>
  <conditionalFormatting sqref="D36:G36">
    <cfRule type="expression" dxfId="96" priority="13" stopIfTrue="1">
      <formula>D36&lt;&gt;""</formula>
    </cfRule>
  </conditionalFormatting>
  <conditionalFormatting sqref="O41:T41">
    <cfRule type="expression" dxfId="95" priority="11" stopIfTrue="1">
      <formula>O41&lt;&gt;""</formula>
    </cfRule>
  </conditionalFormatting>
  <conditionalFormatting sqref="U41:X41 A41:N41">
    <cfRule type="expression" dxfId="94" priority="12" stopIfTrue="1">
      <formula>A41&lt;&gt;""</formula>
    </cfRule>
  </conditionalFormatting>
  <conditionalFormatting sqref="G56:K56 G59:K59 G57:H58">
    <cfRule type="expression" dxfId="93" priority="2" stopIfTrue="1">
      <formula>$K$50&lt;&gt;"SIM"</formula>
    </cfRule>
  </conditionalFormatting>
  <conditionalFormatting sqref="M56:Q57 M59:Q59 M58:N58">
    <cfRule type="expression" dxfId="92" priority="3" stopIfTrue="1">
      <formula>$Q$50&lt;&gt;"SIM"</formula>
    </cfRule>
  </conditionalFormatting>
  <conditionalFormatting sqref="S56:W57 S59:W59 S58:T58">
    <cfRule type="expression" dxfId="91" priority="4" stopIfTrue="1">
      <formula>$W$50&lt;&gt;"SIM"</formula>
    </cfRule>
  </conditionalFormatting>
  <conditionalFormatting sqref="H56:K56 H59:K59 H57:H58">
    <cfRule type="expression" dxfId="90" priority="7" stopIfTrue="1">
      <formula>H56&lt;&gt;""</formula>
    </cfRule>
  </conditionalFormatting>
  <conditionalFormatting sqref="N56:Q57 N59:Q59 N58">
    <cfRule type="expression" dxfId="89" priority="6" stopIfTrue="1">
      <formula>$N56&lt;&gt;""</formula>
    </cfRule>
  </conditionalFormatting>
  <conditionalFormatting sqref="T56:W57 T59:W59 T58">
    <cfRule type="expression" dxfId="88" priority="5" stopIfTrue="1">
      <formula>$T56&lt;&gt;""</formula>
    </cfRule>
  </conditionalFormatting>
  <conditionalFormatting sqref="B56:E57 B59:E59 B58">
    <cfRule type="expression" dxfId="87" priority="1" stopIfTrue="1">
      <formula>$B56&lt;&gt;""</formula>
    </cfRule>
  </conditionalFormatting>
  <dataValidations count="7">
    <dataValidation type="list" allowBlank="1" showInputMessage="1" showErrorMessage="1" sqref="K50 Q50 W50">
      <formula1>"SIM,NÃO"</formula1>
    </dataValidation>
    <dataValidation type="list" allowBlank="1" showInputMessage="1" showErrorMessage="1" sqref="E23:F23 E241:F241">
      <formula1>$A$128:$A$200</formula1>
    </dataValidation>
    <dataValidation type="list" allowBlank="1" showInputMessage="1" showErrorMessage="1" sqref="A31">
      <formula1>Dados.Lista.TipoOrç</formula1>
    </dataValidation>
    <dataValidation type="list" allowBlank="1" showInputMessage="1" showErrorMessage="1" sqref="D36:F36">
      <formula1>Dados.Lista.Localidade</formula1>
    </dataValidation>
    <dataValidation type="list" allowBlank="1" showInputMessage="1" showErrorMessage="1" sqref="C36 C247 J41">
      <formula1>"Sim,Não"</formula1>
    </dataValidation>
    <dataValidation type="list" allowBlank="1" showInputMessage="1" showErrorMessage="1" sqref="K41:M41">
      <formula1>Dados.Lista.RegimeExecução</formula1>
    </dataValidation>
    <dataValidation type="list" allowBlank="1" showInputMessage="1" showErrorMessage="1" sqref="N41">
      <formula1>Dados.Lista.Acompanhamento</formula1>
    </dataValidation>
  </dataValidations>
  <pageMargins left="0.78740157480314965" right="0.78740157480314965" top="0.98425196850393704" bottom="0.98425196850393704" header="0.51181102362204722" footer="0.51181102362204722"/>
  <pageSetup paperSize="9" scale="41" orientation="portrait" horizontalDpi="4294967295" verticalDpi="4294967295" r:id="rId1"/>
  <headerFooter alignWithMargins="0">
    <oddFooter>&amp;L27.476 v001  micro&amp;R&amp;P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pageSetUpPr fitToPage="1"/>
  </sheetPr>
  <dimension ref="A1:S59"/>
  <sheetViews>
    <sheetView showGridLines="0" tabSelected="1" topLeftCell="I28" zoomScaleSheetLayoutView="100" workbookViewId="0">
      <selection activeCell="O41" sqref="O41:R41"/>
    </sheetView>
  </sheetViews>
  <sheetFormatPr defaultColWidth="0" defaultRowHeight="12.75" zeroHeight="1" x14ac:dyDescent="0.2"/>
  <cols>
    <col min="1" max="1" width="30.28515625" style="128" hidden="1" customWidth="1"/>
    <col min="2" max="3" width="9.140625" style="128" hidden="1" customWidth="1"/>
    <col min="4" max="4" width="23.5703125" style="128" hidden="1" customWidth="1"/>
    <col min="5" max="8" width="9.140625" style="128" hidden="1" customWidth="1"/>
    <col min="9" max="18" width="10.7109375" style="128" customWidth="1"/>
    <col min="19" max="19" width="4.42578125" style="128" customWidth="1"/>
    <col min="20" max="21" width="9.140625" style="128" customWidth="1"/>
    <col min="22" max="16384" width="0" style="128" hidden="1"/>
  </cols>
  <sheetData>
    <row r="1" spans="1:19" ht="15" customHeight="1" x14ac:dyDescent="0.2">
      <c r="E1" s="129" t="s">
        <v>169</v>
      </c>
      <c r="F1" s="129" t="s">
        <v>170</v>
      </c>
      <c r="G1" s="129" t="s">
        <v>171</v>
      </c>
      <c r="N1" s="190"/>
      <c r="Q1" s="345" t="s">
        <v>35</v>
      </c>
      <c r="R1" s="346"/>
    </row>
    <row r="2" spans="1:19" ht="15.75" x14ac:dyDescent="0.25">
      <c r="A2" s="128" t="s">
        <v>172</v>
      </c>
      <c r="B2" s="130" t="s">
        <v>173</v>
      </c>
      <c r="C2" s="128" t="str">
        <f t="shared" ref="C2:C49" si="0">CONCATENATE(A2,"-",B2)</f>
        <v>Construção e Reforma de Edifícios-AC</v>
      </c>
      <c r="E2" s="131">
        <v>0.03</v>
      </c>
      <c r="F2" s="131">
        <v>0.04</v>
      </c>
      <c r="G2" s="131">
        <v>5.5E-2</v>
      </c>
      <c r="N2" s="132" t="str">
        <f ca="1">"Quadro de Composição do BDI "&amp;MID(CELL("nome.arquivo",N2),5+FIND("BDI (",CELL("nome.arquivo",N2)),1)</f>
        <v>Quadro de Composição do BDI 1</v>
      </c>
      <c r="Q2" s="347" t="s">
        <v>36</v>
      </c>
      <c r="R2" s="348"/>
    </row>
    <row r="3" spans="1:19" x14ac:dyDescent="0.2">
      <c r="A3" s="128" t="str">
        <f>A2</f>
        <v>Construção e Reforma de Edifícios</v>
      </c>
      <c r="B3" s="130" t="s">
        <v>174</v>
      </c>
      <c r="C3" s="128" t="str">
        <f t="shared" si="0"/>
        <v>Construção e Reforma de Edifícios-SG</v>
      </c>
      <c r="E3" s="131">
        <v>8.0000000000000002E-3</v>
      </c>
      <c r="F3" s="131">
        <v>8.0000000000000002E-3</v>
      </c>
      <c r="G3" s="131">
        <v>0.01</v>
      </c>
    </row>
    <row r="4" spans="1:19" x14ac:dyDescent="0.2">
      <c r="A4" s="128" t="str">
        <f>A3</f>
        <v>Construção e Reforma de Edifícios</v>
      </c>
      <c r="B4" s="130" t="s">
        <v>175</v>
      </c>
      <c r="C4" s="128" t="str">
        <f t="shared" si="0"/>
        <v>Construção e Reforma de Edifícios-R</v>
      </c>
      <c r="E4" s="131">
        <v>9.7000000000000003E-3</v>
      </c>
      <c r="F4" s="131">
        <v>1.2699999999999999E-2</v>
      </c>
      <c r="G4" s="131">
        <v>1.2699999999999999E-2</v>
      </c>
      <c r="I4" s="236" t="s">
        <v>16</v>
      </c>
      <c r="J4" s="238"/>
      <c r="K4" s="236" t="s">
        <v>45</v>
      </c>
      <c r="L4" s="237"/>
      <c r="M4" s="237"/>
      <c r="N4" s="237"/>
      <c r="O4" s="237"/>
      <c r="P4" s="237"/>
      <c r="Q4" s="237"/>
      <c r="R4" s="238"/>
    </row>
    <row r="5" spans="1:19" ht="12.75" customHeight="1" x14ac:dyDescent="0.3">
      <c r="A5" s="128" t="str">
        <f>A4</f>
        <v>Construção e Reforma de Edifícios</v>
      </c>
      <c r="B5" s="130" t="s">
        <v>176</v>
      </c>
      <c r="C5" s="128" t="str">
        <f t="shared" si="0"/>
        <v>Construção e Reforma de Edifícios-DF</v>
      </c>
      <c r="E5" s="131">
        <v>5.8999999999999999E-3</v>
      </c>
      <c r="F5" s="131">
        <v>1.23E-2</v>
      </c>
      <c r="G5" s="131">
        <v>1.3899999999999999E-2</v>
      </c>
      <c r="I5" s="339">
        <f>DADOS!A23</f>
        <v>0</v>
      </c>
      <c r="J5" s="340"/>
      <c r="K5" s="341" t="str">
        <f>DADOS!A26</f>
        <v>PREFEITURA MUNICIPAL DE CONCEIÇÃO DO RIO VERDE - MG</v>
      </c>
      <c r="L5" s="342"/>
      <c r="M5" s="342"/>
      <c r="N5" s="342"/>
      <c r="O5" s="342"/>
      <c r="P5" s="342"/>
      <c r="Q5" s="342"/>
      <c r="R5" s="343"/>
      <c r="S5" s="133"/>
    </row>
    <row r="6" spans="1:19" ht="6" customHeight="1" x14ac:dyDescent="0.2">
      <c r="A6" s="128" t="str">
        <f>A5</f>
        <v>Construção e Reforma de Edifícios</v>
      </c>
      <c r="B6" s="130" t="s">
        <v>33</v>
      </c>
      <c r="C6" s="128" t="str">
        <f t="shared" si="0"/>
        <v>Construção e Reforma de Edifícios-L</v>
      </c>
      <c r="E6" s="131">
        <v>6.1600000000000002E-2</v>
      </c>
      <c r="F6" s="131">
        <v>7.400000000000001E-2</v>
      </c>
      <c r="G6" s="131">
        <v>8.9600000000000013E-2</v>
      </c>
      <c r="I6" s="134"/>
      <c r="J6" s="134"/>
      <c r="K6" s="134"/>
      <c r="L6" s="134"/>
      <c r="M6" s="134"/>
      <c r="N6" s="134"/>
      <c r="O6" s="134"/>
      <c r="P6" s="134"/>
      <c r="Q6" s="134"/>
      <c r="R6" s="134"/>
    </row>
    <row r="7" spans="1:19" ht="13.5" customHeight="1" x14ac:dyDescent="0.2">
      <c r="A7" s="128" t="str">
        <f>A6</f>
        <v>Construção e Reforma de Edifícios</v>
      </c>
      <c r="B7" s="135" t="s">
        <v>177</v>
      </c>
      <c r="C7" s="128" t="str">
        <f t="shared" si="0"/>
        <v>Construção e Reforma de Edifícios-BDI PAD</v>
      </c>
      <c r="E7" s="131">
        <v>0.2034</v>
      </c>
      <c r="F7" s="131">
        <v>0.22120000000000001</v>
      </c>
      <c r="G7" s="131">
        <v>0.25</v>
      </c>
      <c r="I7" s="236" t="s">
        <v>48</v>
      </c>
      <c r="J7" s="237"/>
      <c r="K7" s="237"/>
      <c r="L7" s="237"/>
      <c r="M7" s="237"/>
      <c r="N7" s="237"/>
      <c r="O7" s="237"/>
      <c r="P7" s="237"/>
      <c r="Q7" s="237"/>
      <c r="R7" s="238"/>
    </row>
    <row r="8" spans="1:19" ht="24.75" customHeight="1" x14ac:dyDescent="0.2">
      <c r="A8" s="128" t="s">
        <v>178</v>
      </c>
      <c r="B8" s="130" t="s">
        <v>173</v>
      </c>
      <c r="C8" s="128" t="str">
        <f t="shared" si="0"/>
        <v>Construção de Praças Urbanas, Rodovias, Ferrovias e recapeamento e pavimentação de vias urbanas-AC</v>
      </c>
      <c r="E8" s="131">
        <v>3.7999999999999999E-2</v>
      </c>
      <c r="F8" s="131">
        <v>4.0099999999999997E-2</v>
      </c>
      <c r="G8" s="131">
        <v>4.6699999999999998E-2</v>
      </c>
      <c r="I8" s="344" t="str">
        <f>DADOS!Q26</f>
        <v>PAVIMENTAÇÃO ASFALTICA PROLONG. RUA JOSÉ DE MATOS E RUA TRÊS</v>
      </c>
      <c r="J8" s="344"/>
      <c r="K8" s="344"/>
      <c r="L8" s="344"/>
      <c r="M8" s="344"/>
      <c r="N8" s="344"/>
      <c r="O8" s="344"/>
      <c r="P8" s="344"/>
      <c r="Q8" s="344"/>
      <c r="R8" s="344"/>
    </row>
    <row r="9" spans="1:19" ht="6" customHeight="1" x14ac:dyDescent="0.2">
      <c r="A9" s="128" t="s">
        <v>178</v>
      </c>
      <c r="B9" s="130" t="s">
        <v>174</v>
      </c>
      <c r="C9" s="128" t="str">
        <f t="shared" si="0"/>
        <v>Construção de Praças Urbanas, Rodovias, Ferrovias e recapeamento e pavimentação de vias urbanas-SG</v>
      </c>
      <c r="E9" s="131">
        <v>3.2000000000000002E-3</v>
      </c>
      <c r="F9" s="131">
        <v>4.0000000000000001E-3</v>
      </c>
      <c r="G9" s="131">
        <v>7.4000000000000003E-3</v>
      </c>
      <c r="I9" s="134"/>
      <c r="J9" s="134"/>
      <c r="K9" s="134"/>
      <c r="L9" s="134"/>
      <c r="M9" s="134"/>
      <c r="N9" s="134"/>
      <c r="O9" s="134"/>
      <c r="P9" s="134"/>
      <c r="Q9" s="134"/>
      <c r="R9" s="134"/>
    </row>
    <row r="10" spans="1:19" x14ac:dyDescent="0.2">
      <c r="A10" s="128" t="s">
        <v>178</v>
      </c>
      <c r="B10" s="130" t="s">
        <v>175</v>
      </c>
      <c r="C10" s="128" t="str">
        <f t="shared" si="0"/>
        <v>Construção de Praças Urbanas, Rodovias, Ferrovias e recapeamento e pavimentação de vias urbanas-R</v>
      </c>
      <c r="E10" s="131">
        <v>5.0000000000000001E-3</v>
      </c>
      <c r="F10" s="131">
        <v>5.6000000000000008E-3</v>
      </c>
      <c r="G10" s="131">
        <v>9.7000000000000003E-3</v>
      </c>
      <c r="I10" s="236" t="s">
        <v>179</v>
      </c>
      <c r="J10" s="237"/>
      <c r="K10" s="237"/>
      <c r="L10" s="237"/>
      <c r="M10" s="237"/>
      <c r="N10" s="237"/>
      <c r="O10" s="237"/>
      <c r="P10" s="237"/>
      <c r="Q10" s="236" t="s">
        <v>142</v>
      </c>
      <c r="R10" s="238"/>
    </row>
    <row r="11" spans="1:19" x14ac:dyDescent="0.2">
      <c r="A11" s="128" t="s">
        <v>178</v>
      </c>
      <c r="B11" s="130" t="s">
        <v>176</v>
      </c>
      <c r="C11" s="128" t="str">
        <f t="shared" si="0"/>
        <v>Construção de Praças Urbanas, Rodovias, Ferrovias e recapeamento e pavimentação de vias urbanas-DF</v>
      </c>
      <c r="E11" s="131">
        <v>1.0200000000000001E-2</v>
      </c>
      <c r="F11" s="131">
        <v>1.11E-2</v>
      </c>
      <c r="G11" s="131">
        <v>1.21E-2</v>
      </c>
      <c r="I11" s="334" t="s">
        <v>178</v>
      </c>
      <c r="J11" s="335"/>
      <c r="K11" s="335"/>
      <c r="L11" s="335"/>
      <c r="M11" s="335"/>
      <c r="N11" s="335"/>
      <c r="O11" s="335"/>
      <c r="P11" s="336"/>
      <c r="Q11" s="337" t="s">
        <v>331</v>
      </c>
      <c r="R11" s="338"/>
    </row>
    <row r="12" spans="1:19" x14ac:dyDescent="0.2">
      <c r="A12" s="128" t="s">
        <v>178</v>
      </c>
      <c r="B12" s="130" t="s">
        <v>33</v>
      </c>
      <c r="C12" s="128" t="str">
        <f t="shared" si="0"/>
        <v>Construção de Praças Urbanas, Rodovias, Ferrovias e recapeamento e pavimentação de vias urbanas-L</v>
      </c>
      <c r="E12" s="131">
        <v>6.6400000000000001E-2</v>
      </c>
      <c r="F12" s="131">
        <v>7.2999999999999995E-2</v>
      </c>
      <c r="G12" s="131">
        <v>8.6899999999999991E-2</v>
      </c>
    </row>
    <row r="13" spans="1:19" ht="15" customHeight="1" x14ac:dyDescent="0.2">
      <c r="A13" s="128" t="s">
        <v>178</v>
      </c>
      <c r="B13" s="135" t="s">
        <v>177</v>
      </c>
      <c r="C13" s="128" t="str">
        <f t="shared" si="0"/>
        <v>Construção de Praças Urbanas, Rodovias, Ferrovias e recapeamento e pavimentação de vias urbanas-BDI PAD</v>
      </c>
      <c r="E13" s="131">
        <v>0.19600000000000001</v>
      </c>
      <c r="F13" s="131">
        <v>0.2097</v>
      </c>
      <c r="G13" s="131">
        <v>0.24230000000000002</v>
      </c>
      <c r="I13" s="329" t="s">
        <v>180</v>
      </c>
      <c r="J13" s="329"/>
      <c r="K13" s="329"/>
      <c r="L13" s="329"/>
      <c r="M13" s="329"/>
      <c r="N13" s="329"/>
      <c r="O13" s="329"/>
      <c r="P13" s="329"/>
      <c r="Q13" s="330">
        <v>0.4</v>
      </c>
      <c r="R13" s="330"/>
    </row>
    <row r="14" spans="1:19" ht="15" customHeight="1" x14ac:dyDescent="0.2">
      <c r="A14" s="128" t="s">
        <v>181</v>
      </c>
      <c r="B14" s="130" t="s">
        <v>173</v>
      </c>
      <c r="C14" s="128" t="str">
        <f t="shared" si="0"/>
        <v>Construção de Redes de Abastecimento de Água, Coleta de Esgoto-AC</v>
      </c>
      <c r="E14" s="131">
        <v>3.4300000000000004E-2</v>
      </c>
      <c r="F14" s="131">
        <v>4.9299999999999997E-2</v>
      </c>
      <c r="G14" s="131">
        <v>6.7099999999999993E-2</v>
      </c>
      <c r="I14" s="331" t="s">
        <v>182</v>
      </c>
      <c r="J14" s="331"/>
      <c r="K14" s="331"/>
      <c r="L14" s="331"/>
      <c r="M14" s="331"/>
      <c r="N14" s="331"/>
      <c r="O14" s="331"/>
      <c r="P14" s="331"/>
      <c r="Q14" s="330">
        <v>0.03</v>
      </c>
      <c r="R14" s="330"/>
    </row>
    <row r="15" spans="1:19" x14ac:dyDescent="0.2">
      <c r="A15" s="128" t="str">
        <f>A14</f>
        <v>Construção de Redes de Abastecimento de Água, Coleta de Esgoto</v>
      </c>
      <c r="B15" s="130" t="s">
        <v>174</v>
      </c>
      <c r="C15" s="128" t="str">
        <f t="shared" si="0"/>
        <v>Construção de Redes de Abastecimento de Água, Coleta de Esgoto-SG</v>
      </c>
      <c r="E15" s="131">
        <v>2.8000000000000004E-3</v>
      </c>
      <c r="F15" s="131">
        <v>4.8999999999999998E-3</v>
      </c>
      <c r="G15" s="131">
        <v>7.4999999999999997E-3</v>
      </c>
    </row>
    <row r="16" spans="1:19" ht="15" x14ac:dyDescent="0.25">
      <c r="B16" s="130"/>
      <c r="E16" s="131"/>
      <c r="F16" s="131"/>
      <c r="G16" s="131"/>
      <c r="I16" s="333" t="s">
        <v>183</v>
      </c>
      <c r="J16" s="333"/>
      <c r="K16" s="333"/>
      <c r="L16" s="333"/>
      <c r="M16" s="333" t="s">
        <v>184</v>
      </c>
      <c r="N16" s="328" t="s">
        <v>185</v>
      </c>
      <c r="O16" s="328" t="s">
        <v>186</v>
      </c>
      <c r="P16" s="332" t="s">
        <v>223</v>
      </c>
      <c r="Q16" s="332"/>
      <c r="R16" s="332"/>
    </row>
    <row r="17" spans="1:18" ht="15" x14ac:dyDescent="0.2">
      <c r="A17" s="128" t="str">
        <f>A15</f>
        <v>Construção de Redes de Abastecimento de Água, Coleta de Esgoto</v>
      </c>
      <c r="B17" s="130" t="s">
        <v>175</v>
      </c>
      <c r="C17" s="128" t="str">
        <f t="shared" si="0"/>
        <v>Construção de Redes de Abastecimento de Água, Coleta de Esgoto-R</v>
      </c>
      <c r="E17" s="131">
        <v>0.01</v>
      </c>
      <c r="F17" s="131">
        <v>1.3899999999999999E-2</v>
      </c>
      <c r="G17" s="131">
        <v>1.7399999999999999E-2</v>
      </c>
      <c r="I17" s="333"/>
      <c r="J17" s="333"/>
      <c r="K17" s="333"/>
      <c r="L17" s="333"/>
      <c r="M17" s="333"/>
      <c r="N17" s="328"/>
      <c r="O17" s="328"/>
      <c r="P17" s="136" t="s">
        <v>187</v>
      </c>
      <c r="Q17" s="136" t="s">
        <v>188</v>
      </c>
      <c r="R17" s="137" t="s">
        <v>189</v>
      </c>
    </row>
    <row r="18" spans="1:18" ht="30.75" customHeight="1" x14ac:dyDescent="0.2">
      <c r="A18" s="128" t="str">
        <f>A17</f>
        <v>Construção de Redes de Abastecimento de Água, Coleta de Esgoto</v>
      </c>
      <c r="B18" s="130" t="s">
        <v>176</v>
      </c>
      <c r="C18" s="128" t="str">
        <f t="shared" si="0"/>
        <v>Construção de Redes de Abastecimento de Água, Coleta de Esgoto-DF</v>
      </c>
      <c r="E18" s="131">
        <v>9.3999999999999986E-3</v>
      </c>
      <c r="F18" s="131">
        <v>9.8999999999999991E-3</v>
      </c>
      <c r="G18" s="131">
        <v>1.1699999999999999E-2</v>
      </c>
      <c r="I18" s="325" t="str">
        <f>IF($I$11=$A$58,"Encargos Sociais incidentes sobre a mão de obra","Administração Central")</f>
        <v>Administração Central</v>
      </c>
      <c r="J18" s="325"/>
      <c r="K18" s="325"/>
      <c r="L18" s="325"/>
      <c r="M18" s="138" t="str">
        <f>IF($I$11=$A$58,"K1","AC")</f>
        <v>AC</v>
      </c>
      <c r="N18" s="139">
        <v>0.05</v>
      </c>
      <c r="O18" s="140" t="s">
        <v>190</v>
      </c>
      <c r="P18" s="141">
        <f>VLOOKUP(CONCATENATE(I$11,"-",M18),$C$2:$G$49,3,FALSE)</f>
        <v>3.7999999999999999E-2</v>
      </c>
      <c r="Q18" s="141">
        <f>VLOOKUP(CONCATENATE(I$11,"-",M18),$C$2:$G$49,4,FALSE)</f>
        <v>4.0099999999999997E-2</v>
      </c>
      <c r="R18" s="141">
        <f>VLOOKUP(CONCATENATE(I$11,"-",M18),$C$2:$G$49,5,FALSE)</f>
        <v>4.6699999999999998E-2</v>
      </c>
    </row>
    <row r="19" spans="1:18" ht="30.75" customHeight="1" x14ac:dyDescent="0.2">
      <c r="A19" s="128" t="str">
        <f>A18</f>
        <v>Construção de Redes de Abastecimento de Água, Coleta de Esgoto</v>
      </c>
      <c r="B19" s="130" t="s">
        <v>33</v>
      </c>
      <c r="C19" s="128" t="str">
        <f t="shared" si="0"/>
        <v>Construção de Redes de Abastecimento de Água, Coleta de Esgoto-L</v>
      </c>
      <c r="E19" s="131">
        <v>6.7400000000000002E-2</v>
      </c>
      <c r="F19" s="131">
        <v>8.0399999999999985E-2</v>
      </c>
      <c r="G19" s="131">
        <v>9.4E-2</v>
      </c>
      <c r="I19" s="325" t="str">
        <f>IF($I$11=$A$58,"Administração Central da empresa ou consultoria - overhead","Seguro e Garantia")</f>
        <v>Seguro e Garantia</v>
      </c>
      <c r="J19" s="325"/>
      <c r="K19" s="325"/>
      <c r="L19" s="325"/>
      <c r="M19" s="138" t="str">
        <f>IF($I$11=$A$58,"K2","SG")</f>
        <v>SG</v>
      </c>
      <c r="N19" s="139">
        <v>1.4E-2</v>
      </c>
      <c r="O19" s="140" t="s">
        <v>190</v>
      </c>
      <c r="P19" s="141">
        <f>VLOOKUP(CONCATENATE(I$11,"-",M19),$C$2:$G$49,3,FALSE)</f>
        <v>3.2000000000000002E-3</v>
      </c>
      <c r="Q19" s="141">
        <f>VLOOKUP(CONCATENATE(I$11,"-",M19),$C$2:$G$49,4,FALSE)</f>
        <v>4.0000000000000001E-3</v>
      </c>
      <c r="R19" s="141">
        <f>VLOOKUP(CONCATENATE(I$11,"-",M19),$C$2:$G$49,5,FALSE)</f>
        <v>7.4000000000000003E-3</v>
      </c>
    </row>
    <row r="20" spans="1:18" ht="30.75" customHeight="1" x14ac:dyDescent="0.2">
      <c r="A20" s="128" t="str">
        <f>A19</f>
        <v>Construção de Redes de Abastecimento de Água, Coleta de Esgoto</v>
      </c>
      <c r="B20" s="135" t="s">
        <v>177</v>
      </c>
      <c r="C20" s="128" t="str">
        <f t="shared" si="0"/>
        <v>Construção de Redes de Abastecimento de Água, Coleta de Esgoto-BDI PAD</v>
      </c>
      <c r="E20" s="131">
        <v>0.20760000000000001</v>
      </c>
      <c r="F20" s="131">
        <v>0.24179999999999999</v>
      </c>
      <c r="G20" s="131">
        <v>0.26440000000000002</v>
      </c>
      <c r="I20" s="325" t="str">
        <f>IF($I$11=$A$58,"","Risco")</f>
        <v>Risco</v>
      </c>
      <c r="J20" s="325"/>
      <c r="K20" s="325"/>
      <c r="L20" s="325"/>
      <c r="M20" s="138" t="str">
        <f>IF($I$11=$A$58,"","R")</f>
        <v>R</v>
      </c>
      <c r="N20" s="139">
        <v>0.01</v>
      </c>
      <c r="O20" s="140" t="s">
        <v>190</v>
      </c>
      <c r="P20" s="141">
        <f>VLOOKUP(CONCATENATE(I$11,"-",M20),$C$2:$G$49,3,FALSE)</f>
        <v>5.0000000000000001E-3</v>
      </c>
      <c r="Q20" s="141">
        <f>VLOOKUP(CONCATENATE(I$11,"-",M20),$C$2:$G$49,4,FALSE)</f>
        <v>5.6000000000000008E-3</v>
      </c>
      <c r="R20" s="141">
        <f>VLOOKUP(CONCATENATE(I$11,"-",M20),$C$2:$G$49,5,FALSE)</f>
        <v>9.7000000000000003E-3</v>
      </c>
    </row>
    <row r="21" spans="1:18" ht="30.75" customHeight="1" x14ac:dyDescent="0.2">
      <c r="A21" s="128" t="s">
        <v>191</v>
      </c>
      <c r="B21" s="130" t="s">
        <v>173</v>
      </c>
      <c r="C21" s="128" t="str">
        <f t="shared" si="0"/>
        <v>Construção e Manutenção de Estações e Redes de Distribuição de Energia Elétrica-AC</v>
      </c>
      <c r="E21" s="131">
        <v>5.2900000000000003E-2</v>
      </c>
      <c r="F21" s="131">
        <v>5.9200000000000003E-2</v>
      </c>
      <c r="G21" s="131">
        <v>7.9299999999999995E-2</v>
      </c>
      <c r="I21" s="325" t="str">
        <f>IF($I$11=$A$58,"","Despesas Financeiras")</f>
        <v>Despesas Financeiras</v>
      </c>
      <c r="J21" s="325"/>
      <c r="K21" s="325"/>
      <c r="L21" s="325"/>
      <c r="M21" s="138" t="str">
        <f>IF($I$11=$A$58,"","DF")</f>
        <v>DF</v>
      </c>
      <c r="N21" s="139">
        <v>1.2E-2</v>
      </c>
      <c r="O21" s="140" t="s">
        <v>190</v>
      </c>
      <c r="P21" s="141">
        <f>VLOOKUP(CONCATENATE(I$11,"-",M21),$C$2:$G$49,3,FALSE)</f>
        <v>1.0200000000000001E-2</v>
      </c>
      <c r="Q21" s="141">
        <f>VLOOKUP(CONCATENATE(I$11,"-",M21),$C$2:$G$49,4,FALSE)</f>
        <v>1.11E-2</v>
      </c>
      <c r="R21" s="141">
        <f>VLOOKUP(CONCATENATE(I$11,"-",M21),$C$2:$G$49,5,FALSE)</f>
        <v>1.21E-2</v>
      </c>
    </row>
    <row r="22" spans="1:18" ht="30.75" customHeight="1" x14ac:dyDescent="0.2">
      <c r="A22" s="128" t="str">
        <f>A21</f>
        <v>Construção e Manutenção de Estações e Redes de Distribuição de Energia Elétrica</v>
      </c>
      <c r="B22" s="130" t="s">
        <v>174</v>
      </c>
      <c r="C22" s="128" t="str">
        <f t="shared" si="0"/>
        <v>Construção e Manutenção de Estações e Redes de Distribuição de Energia Elétrica-SG</v>
      </c>
      <c r="E22" s="131">
        <v>2.5000000000000001E-3</v>
      </c>
      <c r="F22" s="131">
        <v>5.1000000000000004E-3</v>
      </c>
      <c r="G22" s="131">
        <v>5.6000000000000008E-3</v>
      </c>
      <c r="I22" s="325" t="str">
        <f>IF($I$11=$A$58,"Margem bruta da empresa de consultoria","Lucro")</f>
        <v>Lucro</v>
      </c>
      <c r="J22" s="325"/>
      <c r="K22" s="325"/>
      <c r="L22" s="325"/>
      <c r="M22" s="138" t="str">
        <f>IF($I$11=$A$58,"K3","L")</f>
        <v>L</v>
      </c>
      <c r="N22" s="139">
        <f>R22</f>
        <v>8.6899999999999991E-2</v>
      </c>
      <c r="O22" s="140" t="s">
        <v>190</v>
      </c>
      <c r="P22" s="141">
        <f>VLOOKUP(CONCATENATE(I$11,"-",M22),$C$2:$G$49,3,FALSE)</f>
        <v>6.6400000000000001E-2</v>
      </c>
      <c r="Q22" s="141">
        <f>VLOOKUP(CONCATENATE(I$11,"-",M22),$C$2:$G$49,4,FALSE)</f>
        <v>7.2999999999999995E-2</v>
      </c>
      <c r="R22" s="141">
        <f>VLOOKUP(CONCATENATE(I$11,"-",M22),$C$2:$G$49,5,FALSE)</f>
        <v>8.6899999999999991E-2</v>
      </c>
    </row>
    <row r="23" spans="1:18" ht="30.75" customHeight="1" x14ac:dyDescent="0.2">
      <c r="A23" s="128" t="str">
        <f>A22</f>
        <v>Construção e Manutenção de Estações e Redes de Distribuição de Energia Elétrica</v>
      </c>
      <c r="B23" s="130" t="s">
        <v>175</v>
      </c>
      <c r="C23" s="128" t="str">
        <f t="shared" si="0"/>
        <v>Construção e Manutenção de Estações e Redes de Distribuição de Energia Elétrica-R</v>
      </c>
      <c r="E23" s="131">
        <v>0.01</v>
      </c>
      <c r="F23" s="131">
        <v>1.4800000000000001E-2</v>
      </c>
      <c r="G23" s="131">
        <v>1.9699999999999999E-2</v>
      </c>
      <c r="I23" s="327" t="s">
        <v>192</v>
      </c>
      <c r="J23" s="327"/>
      <c r="K23" s="327"/>
      <c r="L23" s="327"/>
      <c r="M23" s="138" t="s">
        <v>193</v>
      </c>
      <c r="N23" s="139">
        <v>3.7100000000000001E-2</v>
      </c>
      <c r="O23" s="140" t="s">
        <v>190</v>
      </c>
      <c r="P23" s="141">
        <v>3.6499999999999998E-2</v>
      </c>
      <c r="Q23" s="141">
        <v>3.6499999999999998E-2</v>
      </c>
      <c r="R23" s="141">
        <v>3.6499999999999998E-2</v>
      </c>
    </row>
    <row r="24" spans="1:18" ht="30.75" customHeight="1" x14ac:dyDescent="0.2">
      <c r="A24" s="128" t="str">
        <f>A23</f>
        <v>Construção e Manutenção de Estações e Redes de Distribuição de Energia Elétrica</v>
      </c>
      <c r="B24" s="130" t="s">
        <v>176</v>
      </c>
      <c r="C24" s="128" t="str">
        <f t="shared" si="0"/>
        <v>Construção e Manutenção de Estações e Redes de Distribuição de Energia Elétrica-DF</v>
      </c>
      <c r="E24" s="131">
        <v>1.01E-2</v>
      </c>
      <c r="F24" s="131">
        <v>1.0700000000000001E-2</v>
      </c>
      <c r="G24" s="131">
        <v>1.11E-2</v>
      </c>
      <c r="I24" s="325" t="s">
        <v>194</v>
      </c>
      <c r="J24" s="325"/>
      <c r="K24" s="325"/>
      <c r="L24" s="325"/>
      <c r="M24" s="138" t="s">
        <v>195</v>
      </c>
      <c r="N24" s="141">
        <f>IF(I11&lt;&gt;A57,Q14*Q13,0)</f>
        <v>1.2E-2</v>
      </c>
      <c r="O24" s="140" t="s">
        <v>190</v>
      </c>
      <c r="P24" s="141">
        <v>0</v>
      </c>
      <c r="Q24" s="141">
        <v>2.5000000000000001E-2</v>
      </c>
      <c r="R24" s="141">
        <v>0.05</v>
      </c>
    </row>
    <row r="25" spans="1:18" ht="30.75" customHeight="1" x14ac:dyDescent="0.2">
      <c r="A25" s="128" t="str">
        <f>A24</f>
        <v>Construção e Manutenção de Estações e Redes de Distribuição de Energia Elétrica</v>
      </c>
      <c r="B25" s="130" t="s">
        <v>33</v>
      </c>
      <c r="C25" s="128" t="str">
        <f t="shared" si="0"/>
        <v>Construção e Manutenção de Estações e Redes de Distribuição de Energia Elétrica-L</v>
      </c>
      <c r="E25" s="131">
        <v>0.08</v>
      </c>
      <c r="F25" s="131">
        <v>8.3100000000000007E-2</v>
      </c>
      <c r="G25" s="131">
        <v>9.5100000000000004E-2</v>
      </c>
      <c r="I25" s="325" t="s">
        <v>259</v>
      </c>
      <c r="J25" s="325"/>
      <c r="K25" s="325"/>
      <c r="L25" s="325"/>
      <c r="M25" s="138" t="s">
        <v>196</v>
      </c>
      <c r="N25" s="141">
        <f>IF(Q11="Sim",4.5%,0%)</f>
        <v>0</v>
      </c>
      <c r="O25" s="140" t="str">
        <f>IF(AND(N25&gt;=P25, N25&lt;=R25), "OK", "Não OK")</f>
        <v>OK</v>
      </c>
      <c r="P25" s="142">
        <v>0</v>
      </c>
      <c r="Q25" s="142">
        <v>4.4999999999999998E-2</v>
      </c>
      <c r="R25" s="142">
        <v>4.4999999999999998E-2</v>
      </c>
    </row>
    <row r="26" spans="1:18" ht="30.75" customHeight="1" x14ac:dyDescent="0.2">
      <c r="A26" s="128" t="str">
        <f>A25</f>
        <v>Construção e Manutenção de Estações e Redes de Distribuição de Energia Elétrica</v>
      </c>
      <c r="B26" s="135" t="s">
        <v>177</v>
      </c>
      <c r="C26" s="128" t="str">
        <f t="shared" si="0"/>
        <v>Construção e Manutenção de Estações e Redes de Distribuição de Energia Elétrica-BDI PAD</v>
      </c>
      <c r="E26" s="131">
        <v>0.24</v>
      </c>
      <c r="F26" s="131">
        <v>0.25840000000000002</v>
      </c>
      <c r="G26" s="131">
        <v>0.27860000000000001</v>
      </c>
      <c r="I26" s="325" t="s">
        <v>197</v>
      </c>
      <c r="J26" s="325"/>
      <c r="K26" s="325"/>
      <c r="L26" s="325"/>
      <c r="M26" s="143" t="s">
        <v>177</v>
      </c>
      <c r="N26" s="141">
        <f>ROUND((((1+N18+N19+N20)*(1+N21)*(1+N22)/(1-(N23+N24)))-1),4)</f>
        <v>0.24229999999999999</v>
      </c>
      <c r="O26" s="140" t="str">
        <f>IF(OR($I$11=$A$58,AND(N26&gt;=P26, N26&lt;=R26)), "OK", "NÃO OK")</f>
        <v>OK</v>
      </c>
      <c r="P26" s="141">
        <f>VLOOKUP(CONCATENATE($I$11,"-",$M26),$C$2:$G$49,3,FALSE)</f>
        <v>0.19600000000000001</v>
      </c>
      <c r="Q26" s="141">
        <f>VLOOKUP(CONCATENATE($I$11,"-",$M26),$C$2:$G$49,4,FALSE)</f>
        <v>0.2097</v>
      </c>
      <c r="R26" s="141">
        <f>VLOOKUP(CONCATENATE($I$11,"-",$M26),$C$2:$G$49,5,FALSE)</f>
        <v>0.24230000000000002</v>
      </c>
    </row>
    <row r="27" spans="1:18" ht="30" customHeight="1" x14ac:dyDescent="0.2">
      <c r="A27" s="128" t="s">
        <v>198</v>
      </c>
      <c r="B27" s="130" t="s">
        <v>173</v>
      </c>
      <c r="C27" s="128" t="str">
        <f t="shared" si="0"/>
        <v>Obras Portuárias, Marítimas e Fluviais-AC</v>
      </c>
      <c r="E27" s="131">
        <v>0.04</v>
      </c>
      <c r="F27" s="131">
        <v>5.5199999999999999E-2</v>
      </c>
      <c r="G27" s="131">
        <v>7.85E-2</v>
      </c>
      <c r="I27" s="326" t="s">
        <v>199</v>
      </c>
      <c r="J27" s="326"/>
      <c r="K27" s="326"/>
      <c r="L27" s="326"/>
      <c r="M27" s="144" t="s">
        <v>200</v>
      </c>
      <c r="N27" s="145">
        <f>ROUND((((1+N18+N19+N20)*(1+N21)*(1+N22)/(1-(N23+N24+N25)))-1),4)</f>
        <v>0.24229999999999999</v>
      </c>
      <c r="O27" s="146" t="str">
        <f>IF(Q11&lt;&gt;"Sim","",IF(COUNTIF($O$18:$O$26,"NÃO OK")&gt;0,"NÃO OK","OK"))</f>
        <v/>
      </c>
      <c r="P27" s="314"/>
      <c r="Q27" s="314"/>
      <c r="R27" s="314"/>
    </row>
    <row r="28" spans="1:18" x14ac:dyDescent="0.2">
      <c r="A28" s="128" t="str">
        <f>A27</f>
        <v>Obras Portuárias, Marítimas e Fluviais</v>
      </c>
      <c r="B28" s="130" t="s">
        <v>174</v>
      </c>
      <c r="C28" s="128" t="str">
        <f t="shared" si="0"/>
        <v>Obras Portuárias, Marítimas e Fluviais-SG</v>
      </c>
      <c r="E28" s="131">
        <v>8.1000000000000013E-3</v>
      </c>
      <c r="F28" s="131">
        <v>1.2199999999999999E-2</v>
      </c>
      <c r="G28" s="131">
        <v>1.9900000000000001E-2</v>
      </c>
    </row>
    <row r="29" spans="1:18" ht="27.75" customHeight="1" x14ac:dyDescent="0.2">
      <c r="A29" s="128" t="str">
        <f>A28</f>
        <v>Obras Portuárias, Marítimas e Fluviais</v>
      </c>
      <c r="B29" s="130" t="s">
        <v>175</v>
      </c>
      <c r="C29" s="128" t="str">
        <f t="shared" si="0"/>
        <v>Obras Portuárias, Marítimas e Fluviais-R</v>
      </c>
      <c r="E29" s="131">
        <v>1.46E-2</v>
      </c>
      <c r="F29" s="131">
        <v>2.3199999999999998E-2</v>
      </c>
      <c r="G29" s="131">
        <v>3.1600000000000003E-2</v>
      </c>
      <c r="I29" s="316" t="s">
        <v>206</v>
      </c>
      <c r="J29" s="316"/>
      <c r="K29" s="316"/>
      <c r="L29" s="316"/>
      <c r="M29" s="316"/>
      <c r="N29" s="316"/>
      <c r="O29" s="316"/>
      <c r="P29" s="316"/>
      <c r="Q29" s="316"/>
      <c r="R29" s="316"/>
    </row>
    <row r="30" spans="1:18" ht="27.75" customHeight="1" x14ac:dyDescent="0.25">
      <c r="B30" s="130"/>
      <c r="E30" s="131"/>
      <c r="F30" s="131"/>
      <c r="G30" s="131"/>
      <c r="I30" s="225"/>
      <c r="J30" s="225"/>
      <c r="K30" s="225"/>
      <c r="L30" s="324" t="str">
        <f>IF(Q11="Sim","BDI.DES =","BDI.PAD =")</f>
        <v>BDI.PAD =</v>
      </c>
      <c r="M30" s="322" t="str">
        <f>IF($I$11=$A$58,"(1+K1+K2)*(1+K3)","(1+AC + S + R + G)*(1 + DF)*(1+L)")</f>
        <v>(1+AC + S + R + G)*(1 + DF)*(1+L)</v>
      </c>
      <c r="N30" s="322"/>
      <c r="O30" s="322"/>
      <c r="P30" s="320" t="s">
        <v>297</v>
      </c>
      <c r="Q30" s="225"/>
      <c r="R30" s="225"/>
    </row>
    <row r="31" spans="1:18" ht="27.75" customHeight="1" x14ac:dyDescent="0.2">
      <c r="B31" s="130"/>
      <c r="E31" s="131"/>
      <c r="F31" s="131"/>
      <c r="G31" s="131"/>
      <c r="I31" s="225"/>
      <c r="J31" s="225"/>
      <c r="K31" s="225"/>
      <c r="L31" s="324"/>
      <c r="M31" s="323" t="str">
        <f>IF(Q11="Sim","(1-CP-ISS-CRPB)","(1-CP-ISS)")</f>
        <v>(1-CP-ISS)</v>
      </c>
      <c r="N31" s="323"/>
      <c r="O31" s="323"/>
      <c r="P31" s="321"/>
      <c r="Q31" s="225"/>
      <c r="R31" s="225"/>
    </row>
    <row r="32" spans="1:18" ht="20.100000000000001" customHeight="1" x14ac:dyDescent="0.2">
      <c r="A32" s="128" t="str">
        <f>A29</f>
        <v>Obras Portuárias, Marítimas e Fluviais</v>
      </c>
      <c r="B32" s="130" t="s">
        <v>176</v>
      </c>
      <c r="C32" s="128" t="str">
        <f t="shared" si="0"/>
        <v>Obras Portuárias, Marítimas e Fluviais-DF</v>
      </c>
      <c r="E32" s="131">
        <v>9.3999999999999986E-3</v>
      </c>
      <c r="F32" s="131">
        <v>1.0200000000000001E-2</v>
      </c>
      <c r="G32" s="131">
        <v>1.3300000000000001E-2</v>
      </c>
      <c r="I32" s="153"/>
      <c r="J32" s="153"/>
      <c r="K32" s="153"/>
      <c r="L32" s="153"/>
      <c r="M32" s="153"/>
      <c r="N32" s="153"/>
      <c r="O32" s="153"/>
      <c r="P32" s="153"/>
      <c r="Q32" s="153"/>
      <c r="R32" s="153"/>
    </row>
    <row r="33" spans="1:18" ht="50.1" customHeight="1" x14ac:dyDescent="0.2">
      <c r="A33" s="128" t="str">
        <f>A32</f>
        <v>Obras Portuárias, Marítimas e Fluviais</v>
      </c>
      <c r="B33" s="130" t="s">
        <v>33</v>
      </c>
      <c r="C33" s="128" t="str">
        <f t="shared" si="0"/>
        <v>Obras Portuárias, Marítimas e Fluviais-L</v>
      </c>
      <c r="E33" s="131">
        <v>7.1399999999999991E-2</v>
      </c>
      <c r="F33" s="131">
        <v>8.4000000000000005E-2</v>
      </c>
      <c r="G33" s="131">
        <v>0.1043</v>
      </c>
      <c r="I33" s="317" t="str">
        <f>CONCATENATE("Declaro para os devidos fins que, conforme legislação tributária municipal, a base de cálculo para ",I11,", é de ",Q13*100,"%, com a respectiva alíquota de ",Q14*100,"%.")</f>
        <v>Declaro para os devidos fins que, conforme legislação tributária municipal, a base de cálculo para Construção de Praças Urbanas, Rodovias, Ferrovias e recapeamento e pavimentação de vias urbanas, é de 40%, com a respectiva alíquota de 3%.</v>
      </c>
      <c r="J33" s="317"/>
      <c r="K33" s="317"/>
      <c r="L33" s="317"/>
      <c r="M33" s="317"/>
      <c r="N33" s="317"/>
      <c r="O33" s="317"/>
      <c r="P33" s="317"/>
      <c r="Q33" s="317"/>
      <c r="R33" s="317"/>
    </row>
    <row r="34" spans="1:18" ht="22.5" customHeight="1" x14ac:dyDescent="0.2">
      <c r="A34" s="128" t="str">
        <f>A33</f>
        <v>Obras Portuárias, Marítimas e Fluviais</v>
      </c>
      <c r="B34" s="135" t="s">
        <v>177</v>
      </c>
      <c r="C34" s="128" t="str">
        <f t="shared" si="0"/>
        <v>Obras Portuárias, Marítimas e Fluviais-BDI PAD</v>
      </c>
      <c r="E34" s="131">
        <v>0.22800000000000001</v>
      </c>
      <c r="F34" s="131">
        <v>0.27479999999999999</v>
      </c>
      <c r="G34" s="131">
        <v>0.3095</v>
      </c>
    </row>
    <row r="35" spans="1:18" x14ac:dyDescent="0.2">
      <c r="B35" s="135"/>
      <c r="E35" s="131"/>
      <c r="F35" s="131"/>
      <c r="G35" s="131"/>
      <c r="I35" s="128" t="s">
        <v>161</v>
      </c>
    </row>
    <row r="36" spans="1:18" ht="49.5" customHeight="1" x14ac:dyDescent="0.2">
      <c r="B36" s="135"/>
      <c r="E36" s="131"/>
      <c r="F36" s="131"/>
      <c r="G36" s="131"/>
      <c r="I36" s="308"/>
      <c r="J36" s="309"/>
      <c r="K36" s="309"/>
      <c r="L36" s="309"/>
      <c r="M36" s="309"/>
      <c r="N36" s="309"/>
      <c r="O36" s="309"/>
      <c r="P36" s="309"/>
      <c r="Q36" s="309"/>
      <c r="R36" s="310"/>
    </row>
    <row r="37" spans="1:18" x14ac:dyDescent="0.2">
      <c r="B37" s="135"/>
      <c r="E37" s="131"/>
      <c r="F37" s="131"/>
      <c r="G37" s="131"/>
    </row>
    <row r="38" spans="1:18" x14ac:dyDescent="0.2">
      <c r="A38" s="128" t="s">
        <v>201</v>
      </c>
      <c r="B38" s="130" t="s">
        <v>173</v>
      </c>
      <c r="C38" s="128" t="str">
        <f t="shared" si="0"/>
        <v>Fornecimento de Materiais e Equipamentos-AC</v>
      </c>
      <c r="E38" s="131">
        <v>1.4999999999999999E-2</v>
      </c>
      <c r="F38" s="131">
        <v>3.4500000000000003E-2</v>
      </c>
      <c r="G38" s="131">
        <v>4.4900000000000002E-2</v>
      </c>
      <c r="I38" s="318" t="s">
        <v>4</v>
      </c>
      <c r="J38" s="318"/>
      <c r="K38" s="318"/>
      <c r="L38" s="318"/>
      <c r="R38" s="147" t="s">
        <v>5</v>
      </c>
    </row>
    <row r="39" spans="1:18" x14ac:dyDescent="0.2">
      <c r="A39" s="128" t="str">
        <f>A38</f>
        <v>Fornecimento de Materiais e Equipamentos</v>
      </c>
      <c r="B39" s="130" t="s">
        <v>174</v>
      </c>
      <c r="C39" s="128" t="str">
        <f t="shared" si="0"/>
        <v>Fornecimento de Materiais e Equipamentos-SG</v>
      </c>
      <c r="E39" s="131">
        <v>3.0000000000000001E-3</v>
      </c>
      <c r="F39" s="131">
        <v>4.7999999999999996E-3</v>
      </c>
      <c r="G39" s="131">
        <v>8.199999999999999E-3</v>
      </c>
      <c r="I39" s="319">
        <f>DADOS!I26</f>
        <v>0</v>
      </c>
      <c r="J39" s="319"/>
      <c r="K39" s="319"/>
      <c r="L39" s="319"/>
      <c r="N39" s="148"/>
      <c r="P39" s="313" t="s">
        <v>340</v>
      </c>
      <c r="Q39" s="313"/>
      <c r="R39" s="313"/>
    </row>
    <row r="40" spans="1:18" x14ac:dyDescent="0.2">
      <c r="A40" s="128" t="str">
        <f>A39</f>
        <v>Fornecimento de Materiais e Equipamentos</v>
      </c>
      <c r="B40" s="130" t="s">
        <v>175</v>
      </c>
      <c r="C40" s="128" t="str">
        <f t="shared" si="0"/>
        <v>Fornecimento de Materiais e Equipamentos-R</v>
      </c>
      <c r="E40" s="131">
        <v>5.6000000000000008E-3</v>
      </c>
      <c r="F40" s="131">
        <v>8.5000000000000006E-3</v>
      </c>
      <c r="G40" s="131">
        <v>8.8999999999999999E-3</v>
      </c>
    </row>
    <row r="41" spans="1:18" ht="31.5" customHeight="1" x14ac:dyDescent="0.2">
      <c r="A41" s="128" t="str">
        <f>A40</f>
        <v>Fornecimento de Materiais e Equipamentos</v>
      </c>
      <c r="B41" s="130" t="s">
        <v>176</v>
      </c>
      <c r="C41" s="128" t="str">
        <f t="shared" si="0"/>
        <v>Fornecimento de Materiais e Equipamentos-DF</v>
      </c>
      <c r="E41" s="131">
        <v>8.5000000000000006E-3</v>
      </c>
      <c r="F41" s="131">
        <v>8.5000000000000006E-3</v>
      </c>
      <c r="G41" s="131">
        <v>1.11E-2</v>
      </c>
      <c r="I41" s="315"/>
      <c r="J41" s="315"/>
      <c r="K41" s="315"/>
      <c r="L41" s="315"/>
      <c r="M41" s="149"/>
      <c r="N41" s="149"/>
      <c r="O41" s="315"/>
      <c r="P41" s="315"/>
      <c r="Q41" s="315"/>
      <c r="R41" s="315"/>
    </row>
    <row r="42" spans="1:18" x14ac:dyDescent="0.2">
      <c r="A42" s="128" t="str">
        <f>A41</f>
        <v>Fornecimento de Materiais e Equipamentos</v>
      </c>
      <c r="B42" s="130" t="s">
        <v>33</v>
      </c>
      <c r="C42" s="128" t="str">
        <f t="shared" si="0"/>
        <v>Fornecimento de Materiais e Equipamentos-L</v>
      </c>
      <c r="E42" s="131">
        <v>3.5000000000000003E-2</v>
      </c>
      <c r="F42" s="131">
        <v>5.1100000000000007E-2</v>
      </c>
      <c r="G42" s="131">
        <v>6.2199999999999998E-2</v>
      </c>
      <c r="I42" s="311" t="s">
        <v>202</v>
      </c>
      <c r="J42" s="311"/>
      <c r="K42" s="311"/>
      <c r="L42" s="311"/>
      <c r="M42" s="150"/>
      <c r="N42" s="150"/>
      <c r="O42" s="311" t="s">
        <v>203</v>
      </c>
      <c r="P42" s="311"/>
      <c r="Q42" s="311"/>
      <c r="R42" s="311"/>
    </row>
    <row r="43" spans="1:18" ht="15" customHeight="1" x14ac:dyDescent="0.2">
      <c r="A43" s="128" t="str">
        <f>A42</f>
        <v>Fornecimento de Materiais e Equipamentos</v>
      </c>
      <c r="B43" s="135" t="s">
        <v>177</v>
      </c>
      <c r="C43" s="128" t="str">
        <f t="shared" si="0"/>
        <v>Fornecimento de Materiais e Equipamentos-BDI PAD</v>
      </c>
      <c r="E43" s="131">
        <v>0.111</v>
      </c>
      <c r="F43" s="131">
        <v>0.14019999999999999</v>
      </c>
      <c r="G43" s="131">
        <v>0.16800000000000001</v>
      </c>
      <c r="I43" s="49" t="s">
        <v>2</v>
      </c>
      <c r="J43" s="307" t="str">
        <f>DADOS!B52</f>
        <v>WANDERSON SOARES DA SILVA</v>
      </c>
      <c r="K43" s="307"/>
      <c r="L43" s="307"/>
      <c r="M43" s="151"/>
      <c r="N43" s="151"/>
      <c r="O43" s="49" t="s">
        <v>2</v>
      </c>
      <c r="P43" s="312" t="s">
        <v>336</v>
      </c>
      <c r="Q43" s="312"/>
      <c r="R43" s="312"/>
    </row>
    <row r="44" spans="1:18" ht="14.25" x14ac:dyDescent="0.2">
      <c r="A44" s="128" t="s">
        <v>204</v>
      </c>
      <c r="B44" s="130" t="s">
        <v>293</v>
      </c>
      <c r="C44" s="128" t="str">
        <f t="shared" si="0"/>
        <v>Estudos e Projetos, Planos e Gerenciamento e outros correlatos-K1</v>
      </c>
      <c r="E44" s="131" t="s">
        <v>190</v>
      </c>
      <c r="F44" s="131" t="s">
        <v>190</v>
      </c>
      <c r="G44" s="131" t="s">
        <v>190</v>
      </c>
      <c r="I44" s="49" t="s">
        <v>152</v>
      </c>
      <c r="J44" s="307" t="str">
        <f>DADOS!B53</f>
        <v>ENGENHEIRO CIVIL</v>
      </c>
      <c r="K44" s="307"/>
      <c r="L44" s="307"/>
      <c r="M44" s="151"/>
      <c r="N44" s="151"/>
      <c r="O44" s="49" t="s">
        <v>205</v>
      </c>
      <c r="P44" s="312" t="s">
        <v>337</v>
      </c>
      <c r="Q44" s="312"/>
      <c r="R44" s="312"/>
    </row>
    <row r="45" spans="1:18" ht="14.25" x14ac:dyDescent="0.2">
      <c r="A45" s="128" t="str">
        <f>A44</f>
        <v>Estudos e Projetos, Planos e Gerenciamento e outros correlatos</v>
      </c>
      <c r="B45" s="130" t="s">
        <v>294</v>
      </c>
      <c r="C45" s="128" t="str">
        <f t="shared" si="0"/>
        <v>Estudos e Projetos, Planos e Gerenciamento e outros correlatos-K2</v>
      </c>
      <c r="E45" s="131" t="s">
        <v>190</v>
      </c>
      <c r="F45" s="131">
        <v>0.2</v>
      </c>
      <c r="G45" s="131" t="s">
        <v>190</v>
      </c>
      <c r="I45" s="49" t="str">
        <f>DADOS!A54</f>
        <v>CREA/CAU:</v>
      </c>
      <c r="J45" s="307" t="str">
        <f>DADOS!B54</f>
        <v>5069777653/D</v>
      </c>
      <c r="K45" s="307"/>
      <c r="L45" s="307"/>
      <c r="M45" s="151"/>
      <c r="N45" s="151"/>
      <c r="O45" s="151"/>
      <c r="P45" s="151"/>
      <c r="Q45" s="151"/>
      <c r="R45" s="151"/>
    </row>
    <row r="46" spans="1:18" x14ac:dyDescent="0.2">
      <c r="A46" s="128" t="str">
        <f>A45</f>
        <v>Estudos e Projetos, Planos e Gerenciamento e outros correlatos</v>
      </c>
      <c r="B46" s="130" t="s">
        <v>295</v>
      </c>
      <c r="C46" s="128" t="str">
        <f t="shared" si="0"/>
        <v>Estudos e Projetos, Planos e Gerenciamento e outros correlatos-</v>
      </c>
      <c r="E46" s="131" t="s">
        <v>190</v>
      </c>
      <c r="F46" s="131" t="s">
        <v>190</v>
      </c>
      <c r="G46" s="131" t="s">
        <v>190</v>
      </c>
    </row>
    <row r="47" spans="1:18" hidden="1" x14ac:dyDescent="0.2">
      <c r="A47" s="128" t="str">
        <f>A46</f>
        <v>Estudos e Projetos, Planos e Gerenciamento e outros correlatos</v>
      </c>
      <c r="B47" s="130" t="s">
        <v>295</v>
      </c>
      <c r="C47" s="128" t="str">
        <f t="shared" si="0"/>
        <v>Estudos e Projetos, Planos e Gerenciamento e outros correlatos-</v>
      </c>
      <c r="E47" s="131" t="s">
        <v>190</v>
      </c>
      <c r="F47" s="131" t="s">
        <v>190</v>
      </c>
      <c r="G47" s="131" t="s">
        <v>190</v>
      </c>
    </row>
    <row r="48" spans="1:18" hidden="1" x14ac:dyDescent="0.2">
      <c r="A48" s="128" t="str">
        <f>A47</f>
        <v>Estudos e Projetos, Planos e Gerenciamento e outros correlatos</v>
      </c>
      <c r="B48" s="130" t="s">
        <v>296</v>
      </c>
      <c r="C48" s="128" t="str">
        <f t="shared" si="0"/>
        <v>Estudos e Projetos, Planos e Gerenciamento e outros correlatos-K3</v>
      </c>
      <c r="E48" s="131" t="s">
        <v>190</v>
      </c>
      <c r="F48" s="131">
        <v>0.12</v>
      </c>
      <c r="G48" s="131" t="s">
        <v>190</v>
      </c>
    </row>
    <row r="49" spans="1:7" hidden="1" x14ac:dyDescent="0.2">
      <c r="A49" s="128" t="str">
        <f>A48</f>
        <v>Estudos e Projetos, Planos e Gerenciamento e outros correlatos</v>
      </c>
      <c r="B49" s="135" t="s">
        <v>177</v>
      </c>
      <c r="C49" s="128" t="str">
        <f t="shared" si="0"/>
        <v>Estudos e Projetos, Planos e Gerenciamento e outros correlatos-BDI PAD</v>
      </c>
      <c r="E49" s="131" t="s">
        <v>190</v>
      </c>
      <c r="F49" s="131" t="s">
        <v>190</v>
      </c>
      <c r="G49" s="131" t="s">
        <v>190</v>
      </c>
    </row>
    <row r="50" spans="1:7" hidden="1" x14ac:dyDescent="0.2"/>
    <row r="51" spans="1:7" hidden="1" x14ac:dyDescent="0.2"/>
    <row r="52" spans="1:7" hidden="1" x14ac:dyDescent="0.2">
      <c r="A52" s="128" t="s">
        <v>172</v>
      </c>
    </row>
    <row r="53" spans="1:7" hidden="1" x14ac:dyDescent="0.2">
      <c r="A53" s="128" t="s">
        <v>178</v>
      </c>
    </row>
    <row r="54" spans="1:7" hidden="1" x14ac:dyDescent="0.2">
      <c r="A54" s="128" t="s">
        <v>181</v>
      </c>
    </row>
    <row r="55" spans="1:7" hidden="1" x14ac:dyDescent="0.2">
      <c r="A55" s="128" t="s">
        <v>191</v>
      </c>
    </row>
    <row r="56" spans="1:7" hidden="1" x14ac:dyDescent="0.2">
      <c r="A56" s="128" t="s">
        <v>198</v>
      </c>
    </row>
    <row r="57" spans="1:7" hidden="1" x14ac:dyDescent="0.2">
      <c r="A57" s="128" t="s">
        <v>201</v>
      </c>
    </row>
    <row r="58" spans="1:7" hidden="1" x14ac:dyDescent="0.2">
      <c r="A58" s="128" t="s">
        <v>204</v>
      </c>
    </row>
    <row r="59" spans="1:7" ht="14.25" hidden="1" x14ac:dyDescent="0.2">
      <c r="A59" s="152"/>
      <c r="B59" s="151"/>
      <c r="C59" s="151"/>
      <c r="D59" s="151"/>
      <c r="E59" s="151"/>
      <c r="F59" s="151"/>
      <c r="G59" s="151"/>
    </row>
  </sheetData>
  <sheetProtection password="E005" sheet="1"/>
  <mergeCells count="51">
    <mergeCell ref="Q1:R1"/>
    <mergeCell ref="Q2:R2"/>
    <mergeCell ref="I4:J4"/>
    <mergeCell ref="K4:R4"/>
    <mergeCell ref="I10:P10"/>
    <mergeCell ref="Q10:R10"/>
    <mergeCell ref="I11:P11"/>
    <mergeCell ref="Q11:R11"/>
    <mergeCell ref="I5:J5"/>
    <mergeCell ref="K5:R5"/>
    <mergeCell ref="I7:R7"/>
    <mergeCell ref="I8:R8"/>
    <mergeCell ref="N16:N17"/>
    <mergeCell ref="O16:O17"/>
    <mergeCell ref="I13:P13"/>
    <mergeCell ref="Q13:R13"/>
    <mergeCell ref="I14:P14"/>
    <mergeCell ref="Q14:R14"/>
    <mergeCell ref="P16:R16"/>
    <mergeCell ref="M16:M17"/>
    <mergeCell ref="I16:L17"/>
    <mergeCell ref="I26:L26"/>
    <mergeCell ref="I27:L27"/>
    <mergeCell ref="I18:L18"/>
    <mergeCell ref="I19:L19"/>
    <mergeCell ref="I20:L20"/>
    <mergeCell ref="I21:L21"/>
    <mergeCell ref="I22:L22"/>
    <mergeCell ref="I23:L23"/>
    <mergeCell ref="I24:L24"/>
    <mergeCell ref="I25:L25"/>
    <mergeCell ref="P27:R27"/>
    <mergeCell ref="I41:L41"/>
    <mergeCell ref="O41:R41"/>
    <mergeCell ref="I29:R29"/>
    <mergeCell ref="I33:R33"/>
    <mergeCell ref="I38:L38"/>
    <mergeCell ref="I39:L39"/>
    <mergeCell ref="P30:P31"/>
    <mergeCell ref="M30:O30"/>
    <mergeCell ref="M31:O31"/>
    <mergeCell ref="L30:L31"/>
    <mergeCell ref="J45:L45"/>
    <mergeCell ref="I36:R36"/>
    <mergeCell ref="I42:L42"/>
    <mergeCell ref="O42:R42"/>
    <mergeCell ref="J43:L43"/>
    <mergeCell ref="P43:R43"/>
    <mergeCell ref="J44:L44"/>
    <mergeCell ref="P44:R44"/>
    <mergeCell ref="P39:R39"/>
  </mergeCells>
  <phoneticPr fontId="45" type="noConversion"/>
  <conditionalFormatting sqref="O18:O27">
    <cfRule type="cellIs" dxfId="86" priority="7" stopIfTrue="1" operator="equal">
      <formula>"NÃO OK"</formula>
    </cfRule>
    <cfRule type="cellIs" dxfId="85" priority="8" stopIfTrue="1" operator="equal">
      <formula>"OK"</formula>
    </cfRule>
  </conditionalFormatting>
  <conditionalFormatting sqref="I26:N26">
    <cfRule type="expression" dxfId="84" priority="6" stopIfTrue="1">
      <formula>$Q$11="Não"</formula>
    </cfRule>
  </conditionalFormatting>
  <conditionalFormatting sqref="I27:N27">
    <cfRule type="expression" dxfId="83" priority="5" stopIfTrue="1">
      <formula>$Q$11="sim"</formula>
    </cfRule>
  </conditionalFormatting>
  <conditionalFormatting sqref="P27:R27">
    <cfRule type="expression" dxfId="82" priority="4" stopIfTrue="1">
      <formula>$Q$11="sim"</formula>
    </cfRule>
  </conditionalFormatting>
  <conditionalFormatting sqref="P43:R44">
    <cfRule type="expression" dxfId="81" priority="3" stopIfTrue="1">
      <formula>P43=""</formula>
    </cfRule>
  </conditionalFormatting>
  <conditionalFormatting sqref="P39:R39">
    <cfRule type="expression" dxfId="80" priority="2" stopIfTrue="1">
      <formula>$P$39=""</formula>
    </cfRule>
  </conditionalFormatting>
  <conditionalFormatting sqref="Q13:R14 I14:P14">
    <cfRule type="expression" dxfId="79" priority="1" stopIfTrue="1">
      <formula>$I$11=$A$57</formula>
    </cfRule>
  </conditionalFormatting>
  <conditionalFormatting sqref="I13:P13">
    <cfRule type="expression" dxfId="78" priority="17" stopIfTrue="1">
      <formula>$I$11=$A$57</formula>
    </cfRule>
  </conditionalFormatting>
  <conditionalFormatting sqref="I33:R33">
    <cfRule type="expression" dxfId="77" priority="18" stopIfTrue="1">
      <formula>$I$11=$A$57</formula>
    </cfRule>
  </conditionalFormatting>
  <dataValidations count="7">
    <dataValidation type="list" allowBlank="1" showInputMessage="1" showErrorMessage="1" sqref="Q11:R11">
      <formula1>"Sim,Não"</formula1>
    </dataValidation>
    <dataValidation type="list" allowBlank="1" showInputMessage="1" showErrorMessage="1" sqref="I11:P11">
      <formula1>$A$52:$A$58</formula1>
    </dataValidation>
    <dataValidation operator="greaterThanOrEqual" allowBlank="1" showInputMessage="1" showErrorMessage="1" errorTitle="Erro de valores" error="Digite um valor igual a 0% ou 2%." sqref="N25"/>
    <dataValidation type="decimal" allowBlank="1" showInputMessage="1" showErrorMessage="1" errorTitle="Erro de valores" error="Digite um valor maior do que 0." sqref="N24">
      <formula1>0</formula1>
      <formula2>1</formula2>
    </dataValidation>
    <dataValidation type="decimal" allowBlank="1" showInputMessage="1" showErrorMessage="1" errorTitle="Valor não permitido" error="Digite um percentual entre 0% e 100%." promptTitle="Valores admissíveis:" prompt="Insira valores entre 0 e 100%." sqref="Q13:R13">
      <formula1>0</formula1>
      <formula2>1</formula2>
    </dataValidation>
    <dataValidation type="decimal" operator="greaterThanOrEqual" allowBlank="1" showInputMessage="1" showErrorMessage="1" errorTitle="Valor não permitido" error="Digite um percentual entre 0% e 100%." promptTitle="Valores comuns:" prompt="Normalmente entre 2 e 5%." sqref="Q14:R14">
      <formula1>0</formula1>
    </dataValidation>
    <dataValidation type="decimal" allowBlank="1" showInputMessage="1" showErrorMessage="1" errorTitle="Erro de valores" error="Digite um valor entre 0% e 100%" sqref="N18:N23">
      <formula1>0</formula1>
      <formula2>1</formula2>
    </dataValidation>
  </dataValidations>
  <pageMargins left="0.78740157480314965" right="0.78740157480314965" top="0.78740157480314965" bottom="0.78740157480314965" header="0" footer="0"/>
  <pageSetup paperSize="9" scale="81" orientation="portrait" horizontalDpi="4294967294" verticalDpi="4294967294" r:id="rId1"/>
  <headerFooter alignWithMargins="0">
    <oddFooter>&amp;L27.476 v001  micro&amp;R&amp;P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
    <pageSetUpPr fitToPage="1"/>
  </sheetPr>
  <dimension ref="A1:IU97"/>
  <sheetViews>
    <sheetView showGridLines="0" topLeftCell="K4" zoomScale="90" zoomScaleNormal="90" zoomScaleSheetLayoutView="70" workbookViewId="0">
      <pane ySplit="12" topLeftCell="A61" activePane="bottomLeft" state="frozen"/>
      <selection activeCell="K4" sqref="K4"/>
      <selection pane="bottomLeft" activeCell="N20" sqref="N20"/>
    </sheetView>
  </sheetViews>
  <sheetFormatPr defaultColWidth="0" defaultRowHeight="12.75" zeroHeight="1" x14ac:dyDescent="0.2"/>
  <cols>
    <col min="1" max="5" width="5.7109375" style="4" hidden="1" customWidth="1"/>
    <col min="6" max="6" width="13.42578125" style="4" hidden="1" customWidth="1"/>
    <col min="7" max="7" width="25.7109375" style="4" hidden="1" customWidth="1"/>
    <col min="8" max="8" width="12.42578125" style="4" hidden="1" customWidth="1"/>
    <col min="9" max="9" width="10.140625" style="4" hidden="1" customWidth="1"/>
    <col min="10" max="10" width="19.28515625" style="4" hidden="1" customWidth="1"/>
    <col min="11" max="12" width="12.7109375" style="4" customWidth="1"/>
    <col min="13" max="14" width="15.7109375" style="4" customWidth="1"/>
    <col min="15" max="15" width="80.7109375" style="4" customWidth="1"/>
    <col min="16" max="16" width="10.7109375" style="4" customWidth="1"/>
    <col min="17" max="18" width="15.7109375" style="4" customWidth="1"/>
    <col min="19" max="19" width="10.7109375" style="4" customWidth="1"/>
    <col min="20" max="22" width="15.7109375" style="4" customWidth="1"/>
    <col min="23" max="255" width="9.140625" style="4" hidden="1" customWidth="1"/>
    <col min="256" max="16384" width="10.5703125" style="4" hidden="1"/>
  </cols>
  <sheetData>
    <row r="1" spans="1:27" hidden="1" x14ac:dyDescent="0.2">
      <c r="K1" s="166" t="s">
        <v>23</v>
      </c>
      <c r="L1" s="171">
        <v>0</v>
      </c>
      <c r="M1" s="167"/>
      <c r="N1" s="167"/>
      <c r="O1" s="168"/>
      <c r="P1" s="167"/>
      <c r="Q1" s="169"/>
      <c r="R1" s="169"/>
      <c r="S1" s="170"/>
      <c r="T1" s="169"/>
      <c r="U1" s="210">
        <f ca="1">IF($J1="S",IF(ISERROR($Q1*$T1),0,ROUND($Q1*$T1,2)),IF($J1=0,0,SUMIF(OFFSET($J1,1,0,$J1),"S",OFFSET($U1,1,0,$J1))))</f>
        <v>0</v>
      </c>
      <c r="W1" s="4" t="e">
        <f ca="1">IF(AND($K1&lt;&gt;"",$K1&lt;&gt;"Serviço",I1&lt;=2),MAX(W$15:OFFSET(W1,-1,0))+1,"")</f>
        <v>#REF!</v>
      </c>
      <c r="AA1" s="4">
        <f>IF(ISNUMBER(S1),S1,IF(LEFT(S1,3)="BDI",VLOOKUP(S1,DADOS!$E$128:$F$132,2,FALSE),0))</f>
        <v>0</v>
      </c>
    </row>
    <row r="2" spans="1:27" hidden="1" x14ac:dyDescent="0.2">
      <c r="A2" s="23">
        <f ca="1">IF(K2="",OFFSET(A2,-1,0),IF(I2=1,OFFSET(A2,-1,0)+1,OFFSET(A2,-1,0)))</f>
        <v>1</v>
      </c>
      <c r="B2" s="23">
        <f ca="1">IF(K2="",OFFSET(B2,-1,0),IF(AND($I2&lt;=1,$I2&lt;&gt;0),0,IF($I2=2,OFFSET(B2,-1,0)+1,OFFSET(B2,-1,0))))</f>
        <v>0</v>
      </c>
      <c r="C2" s="23">
        <f ca="1">IF(K2="",OFFSET(C2,-1,0),IF(AND($I2&lt;=2,$I2&lt;&gt;0),0,IF($I2=3,OFFSET(C2,-1,0)+1,OFFSET(C2,-1,0))))</f>
        <v>0</v>
      </c>
      <c r="D2" s="23">
        <f ca="1">IF(K2="",OFFSET(D2,-1,0),IF(AND($I2&lt;=3,$I2&lt;&gt;0),0,IF($I2=4,OFFSET(D2,-1,0)+1,OFFSET(D2,-1,0))))</f>
        <v>0</v>
      </c>
      <c r="E2" s="23">
        <f ca="1">IF(K2="",OFFSET(E2,-1,0),IF(AND($I2&lt;=4,$I2&lt;&gt;0),0,IF($I2=5,OFFSET(E2,-1,0)+1,OFFSET(E2,-1,0))))</f>
        <v>0</v>
      </c>
      <c r="F2" s="6" t="str">
        <f>IF(OR(ISBLANK(O2),O2="",O2=0,O2="0",ISERROR(O2)),"DESCRIÇÃO",IF(OR(ISBLANK(P2),P2="",P2=0,P2="0",ISERROR(P2)),"UNIDADE",IF(OR(ISBLANK(Q2),Q2="",Q2=0,Q2="0",ISERROR(VALUE(Q2))),"QUANTIDADE",IF(M2="","FONTE",IF(N2="","CÓDIGO",IF(R2="","CUSTO UNITÁRIO",IF(S2="","BDI","OK")))))))</f>
        <v>DESCRIÇÃO</v>
      </c>
      <c r="G2" s="213">
        <f ca="1">IF(OR(K2="",K2="Serviço"),PO.NúmeroNível,9.99E+22)</f>
        <v>1000000000000</v>
      </c>
      <c r="H2" s="6" t="str">
        <f ca="1">IF(OR(AND(ISERROR(G2),I2&lt;&gt;"L"),J2=0),"NÍVEL",IF(F2="DESCRIÇÃO",IF(J2&lt;&gt;"S",F2,IF(OR(J1&lt;&gt;"S",NOT(AND(ISBLANK(M2),ISBLANK(N2),ISBLANK(P2),Q2=0,ISBLANK(R2)))),F2,"OK")),IF(J2="S",F2,"OK")))</f>
        <v>DESCRIÇÃO</v>
      </c>
      <c r="I2" s="23">
        <f ca="1">IF(OR(K2="Serviço",K2=""),IF(OR(OFFSET(K2,-1,0)="Serviço",OFFSET(K2,-1,0)=""),OFFSET(I2,-1,0),OFFSET(I2,-1,0)+1),MIN(MATCH(K2,$A$6:$A$10,0),OFFSET(I2,-1,0)+1))</f>
        <v>1</v>
      </c>
      <c r="J2" s="214" t="b">
        <f>IF(AND(K2&lt;&gt;"",K2&lt;&gt;"Serviço"),PO.NúmeroNível+1000^(5-I2))</f>
        <v>0</v>
      </c>
      <c r="K2" s="212" t="s">
        <v>285</v>
      </c>
      <c r="L2" s="165" t="str">
        <f ca="1">IF(K2="","",CONCATENATE(IF($A2=0,"",$A2),IF($B2=0,"","." &amp;$B2),IF($C2=0,"","." &amp;$C2),IF($D2=0,"","." &amp;$D2),IF($E2=0,"","." &amp;$E2)))</f>
        <v>1</v>
      </c>
      <c r="M2" s="158"/>
      <c r="N2" s="158"/>
      <c r="O2" s="158"/>
      <c r="P2" s="159"/>
      <c r="Q2" s="160">
        <f>PLQ!E2</f>
        <v>0</v>
      </c>
      <c r="R2" s="161"/>
      <c r="S2" s="162" t="s">
        <v>133</v>
      </c>
      <c r="T2" s="160">
        <f ca="1">IF(OR($K2="",$K2="Serviço"),ROUND(ROUND($R2,2)*IF(TipoOrçamento="LICITADO",1,ROUND(1+IF(ISERROR(MATCH($S2,Dados.Lista.BDI,0)),VALUE($S2),INDEX(OFFSET(Dados.Lista.BDI,0,1),MATCH($S2,Dados.Lista.BDI,0),1)),4)),2),"")</f>
        <v>0</v>
      </c>
      <c r="U2" s="209">
        <f ca="1">IF(NOT(J2),IF(ISERROR($Q2*$T2),0,ROUND($Q2*$T2,2)),ROUND(SUMIF(OFFSET(G2,1,0,ROW($L$48)-ROW(G2)),"&lt;"&amp;J2,OFFSET(U2,1,0,ROW($L$48)-ROW(G2))),2))</f>
        <v>0</v>
      </c>
      <c r="V2" s="22" t="str">
        <f ca="1">IF($H2&lt;&gt;"OK",$H2,"")</f>
        <v>DESCRIÇÃO</v>
      </c>
      <c r="W2" s="4" t="str">
        <f ca="1">IF(AND($K2&lt;&gt;"",$K2&lt;&gt;"Serviço",I2&lt;=2),MAX(W$15:OFFSET(W2,-1,0))+1,"")</f>
        <v/>
      </c>
      <c r="AA2" s="4">
        <f ca="1">IF(ISNUMBER(S2),S2,IF(LEFT(S2,3)="BDI",VLOOKUP(S2,DADOS!$E$128:$F$132,2,FALSE),0))</f>
        <v>0.24229999999999999</v>
      </c>
    </row>
    <row r="3" spans="1:27" ht="13.5" hidden="1" thickBot="1" x14ac:dyDescent="0.25">
      <c r="A3" s="7"/>
      <c r="B3" s="7"/>
      <c r="C3" s="7"/>
      <c r="D3" s="7"/>
      <c r="E3" s="7"/>
      <c r="F3" s="7"/>
      <c r="G3" s="7"/>
      <c r="H3" s="7"/>
      <c r="I3" s="7"/>
      <c r="J3" s="7"/>
      <c r="K3" s="7"/>
      <c r="L3" s="7"/>
      <c r="M3" s="7"/>
      <c r="N3" s="7"/>
      <c r="O3" s="7"/>
      <c r="P3" s="7"/>
      <c r="Q3" s="7"/>
      <c r="R3" s="7"/>
      <c r="S3" s="7"/>
      <c r="T3" s="7"/>
      <c r="U3" s="7"/>
    </row>
    <row r="4" spans="1:27" ht="36.75" customHeight="1" thickBot="1" x14ac:dyDescent="0.25">
      <c r="A4" s="176"/>
      <c r="B4" s="176"/>
      <c r="C4" s="176"/>
      <c r="D4" s="176"/>
      <c r="E4" s="176"/>
      <c r="F4" s="176"/>
      <c r="G4" s="176"/>
      <c r="H4" s="176"/>
      <c r="I4" s="176"/>
      <c r="J4" s="176"/>
      <c r="K4" s="176"/>
      <c r="L4" s="176"/>
      <c r="M4" s="176"/>
      <c r="N4" s="176"/>
      <c r="O4" s="176"/>
      <c r="P4" s="176"/>
      <c r="Q4" s="176"/>
      <c r="R4" s="176"/>
      <c r="S4" s="176"/>
      <c r="T4" s="176"/>
      <c r="U4" s="177"/>
    </row>
    <row r="5" spans="1:27" ht="12.95" customHeight="1" x14ac:dyDescent="0.2">
      <c r="A5" s="178" t="s">
        <v>23</v>
      </c>
      <c r="B5" s="178" t="s">
        <v>33</v>
      </c>
      <c r="C5" s="179"/>
      <c r="D5" s="180"/>
      <c r="E5" s="180"/>
      <c r="F5" s="180"/>
      <c r="G5" s="180"/>
      <c r="H5" s="180"/>
      <c r="I5" s="180"/>
      <c r="J5" s="180"/>
      <c r="K5" s="181"/>
      <c r="L5" s="180"/>
      <c r="M5" s="180"/>
      <c r="N5" s="180"/>
      <c r="O5" s="211" t="s">
        <v>37</v>
      </c>
      <c r="P5" s="180"/>
      <c r="Q5" s="182"/>
      <c r="R5" s="180"/>
      <c r="S5" s="180"/>
      <c r="T5" s="180"/>
      <c r="U5" s="174" t="s">
        <v>35</v>
      </c>
    </row>
    <row r="6" spans="1:27" ht="12.75" customHeight="1" x14ac:dyDescent="0.2">
      <c r="A6" s="183" t="s">
        <v>281</v>
      </c>
      <c r="B6" s="183" t="s">
        <v>26</v>
      </c>
      <c r="C6" s="37" t="s">
        <v>12</v>
      </c>
      <c r="D6" s="5"/>
      <c r="O6" s="227" t="str">
        <f>DADOS!$A$31</f>
        <v>(Selecione o tipo de planilha orçamentária)</v>
      </c>
      <c r="U6" s="175" t="s">
        <v>36</v>
      </c>
    </row>
    <row r="7" spans="1:27" ht="12.75" customHeight="1" x14ac:dyDescent="0.2">
      <c r="A7" s="183" t="s">
        <v>282</v>
      </c>
      <c r="B7" s="183" t="s">
        <v>27</v>
      </c>
      <c r="C7" s="37" t="s">
        <v>131</v>
      </c>
      <c r="D7" s="5"/>
    </row>
    <row r="8" spans="1:27" ht="24.95" customHeight="1" x14ac:dyDescent="0.2">
      <c r="A8" s="183" t="s">
        <v>283</v>
      </c>
      <c r="B8" s="183" t="s">
        <v>28</v>
      </c>
      <c r="C8" s="37" t="s">
        <v>157</v>
      </c>
      <c r="D8" s="5"/>
    </row>
    <row r="9" spans="1:27" ht="24.95" customHeight="1" x14ac:dyDescent="0.2">
      <c r="A9" s="183" t="s">
        <v>284</v>
      </c>
      <c r="B9" s="183" t="s">
        <v>29</v>
      </c>
      <c r="C9" s="37" t="s">
        <v>132</v>
      </c>
      <c r="D9" s="5"/>
    </row>
    <row r="10" spans="1:27" ht="24.95" customHeight="1" x14ac:dyDescent="0.2">
      <c r="A10" s="183" t="s">
        <v>285</v>
      </c>
      <c r="B10" s="183" t="s">
        <v>30</v>
      </c>
      <c r="C10" s="5"/>
      <c r="D10" s="5"/>
      <c r="L10" s="184"/>
    </row>
    <row r="11" spans="1:27" ht="24.95" customHeight="1" x14ac:dyDescent="0.2">
      <c r="A11" s="183"/>
      <c r="B11" s="183" t="s">
        <v>31</v>
      </c>
      <c r="C11" s="5"/>
      <c r="D11" s="5"/>
      <c r="L11" s="184"/>
    </row>
    <row r="12" spans="1:27" ht="3" customHeight="1" x14ac:dyDescent="0.2">
      <c r="A12" s="183" t="s">
        <v>25</v>
      </c>
      <c r="B12" s="183" t="s">
        <v>32</v>
      </c>
      <c r="C12" s="5"/>
      <c r="D12" s="5"/>
    </row>
    <row r="13" spans="1:27" ht="3" customHeight="1" x14ac:dyDescent="0.2"/>
    <row r="14" spans="1:27" ht="30" customHeight="1" x14ac:dyDescent="0.2">
      <c r="A14" s="14" t="s">
        <v>18</v>
      </c>
      <c r="B14" s="14" t="s">
        <v>19</v>
      </c>
      <c r="C14" s="14" t="s">
        <v>20</v>
      </c>
      <c r="D14" s="14" t="s">
        <v>21</v>
      </c>
      <c r="E14" s="14" t="s">
        <v>22</v>
      </c>
      <c r="F14" s="21" t="s">
        <v>130</v>
      </c>
      <c r="G14" s="21" t="s">
        <v>128</v>
      </c>
      <c r="H14" s="21" t="s">
        <v>129</v>
      </c>
      <c r="I14" s="14" t="s">
        <v>24</v>
      </c>
      <c r="J14" s="156" t="s">
        <v>34</v>
      </c>
      <c r="K14" s="163" t="s">
        <v>124</v>
      </c>
      <c r="L14" s="163" t="s">
        <v>13</v>
      </c>
      <c r="M14" s="163" t="s">
        <v>11</v>
      </c>
      <c r="N14" s="163" t="s">
        <v>125</v>
      </c>
      <c r="O14" s="163" t="s">
        <v>6</v>
      </c>
      <c r="P14" s="164" t="s">
        <v>15</v>
      </c>
      <c r="Q14" s="163" t="s">
        <v>14</v>
      </c>
      <c r="R14" s="163" t="str">
        <f>IF(TipoOrçamento="LICITADO","Preço Unitário (R$)","Custo Unitário (R$)")</f>
        <v>Custo Unitário (R$)</v>
      </c>
      <c r="S14" s="163" t="s">
        <v>126</v>
      </c>
      <c r="T14" s="163" t="s">
        <v>17</v>
      </c>
      <c r="U14" s="163" t="s">
        <v>127</v>
      </c>
    </row>
    <row r="15" spans="1:27" x14ac:dyDescent="0.2">
      <c r="A15" s="23">
        <f>IF($K15=$A$5,0,IF($K15=$A$6,A14+1,A14))</f>
        <v>0</v>
      </c>
      <c r="B15" s="23">
        <f>IF(OR(A15=0,A15&gt;A14),0,IF($K15=$A$7,B14+1,B14))</f>
        <v>0</v>
      </c>
      <c r="C15" s="23">
        <f>IF(OR(B15=0,B15&gt;B14),0,IF(OR($K15=$A$8,$K15=$A$9),C14+1,C14))</f>
        <v>0</v>
      </c>
      <c r="D15" s="23">
        <f>IF(OR(C15=0,C15&gt;C14),0,IF(OR($K15=$A$10,$K15=$A$11),D14+1,D14))</f>
        <v>0</v>
      </c>
      <c r="E15" s="23">
        <f>IF(OR(D15=0,D15&gt;D14),0,IF($K15=$A$12,E14+1,E14))</f>
        <v>0</v>
      </c>
      <c r="F15" s="6" t="str">
        <f>IF(OR(ISBLANK(O15),O15="",O15=0,O15="0",ISERROR(O15)),"DESCRIÇÃO",IF(OR(ISBLANK(P15),P15="",P15=0,P15="0",ISERROR(P15)),"UNIDADE",IF(OR(ISBLANK(Q15),Q15="",Q15=0,Q15="0",ISERROR(VALUE(Q15))),"QUANTIDADE",IF(ISBLANK(M15),"FONTE",IF(ISBLANK(N15),"CÓDIGO",IF(ISBLANK(R15),"CUSTO UNITÁRIO",IF(ISBLANK(S15),"BDI","OK")))))))</f>
        <v>DESCRIÇÃO</v>
      </c>
      <c r="G15" s="213">
        <f t="shared" ref="G15:G47" si="0">IF(OR(K15="",K15="Serviço"),PO.NúmeroNível,9.99E+22)</f>
        <v>9.9899999999999993E+22</v>
      </c>
      <c r="H15" s="6" t="str">
        <f>IF(OR(AND(ISERROR(G15),I15&lt;&gt;"L"),J15=0),"NÍVEL",IF(F15="DESCRIÇÃO",IF(J15&lt;&gt;"S",F15,IF(OR(J14&lt;&gt;"S",NOT(AND(ISBLANK(M15),ISBLANK(N15),ISBLANK(P15),Q15=0,ISBLANK(R15)))),F15,"OK")),IF(J15="S",F15,"OK")))</f>
        <v>DESCRIÇÃO</v>
      </c>
      <c r="I15" s="23" t="str">
        <f>IF(ISBLANK(K15),I14,INDEX($B$5:$B$12,MATCH(K15,$A$5:$A$12,0),1))</f>
        <v>L</v>
      </c>
      <c r="J15" s="157">
        <f>IF(LEFT($I15,1)="S","S",IF($I15="L",COUNTA($K$15:$K$47),COUNTIF($L$15:$L$47,L15&amp;".*")))</f>
        <v>33</v>
      </c>
      <c r="K15" s="172" t="s">
        <v>23</v>
      </c>
      <c r="L15" s="173">
        <v>0</v>
      </c>
      <c r="M15" s="17"/>
      <c r="N15" s="17"/>
      <c r="O15" s="189">
        <f>IF(TipoOrçamento="LICITADO",DADOS!O41,DADOS!G36)</f>
        <v>0</v>
      </c>
      <c r="P15" s="17"/>
      <c r="Q15" s="18"/>
      <c r="R15" s="18"/>
      <c r="S15" s="19"/>
      <c r="T15" s="18"/>
      <c r="U15" s="208">
        <f ca="1">SUMIF(OFFSET(G15,1,0,ROW(U48)-ROW(U15)-1),"&lt;"&amp;G15,OFFSET(U15,1,0,ROW(U48)-ROW(U15)-1))</f>
        <v>0</v>
      </c>
      <c r="V15" s="22" t="str">
        <f>IF($H15&lt;&gt;"OK",$H15,"")</f>
        <v>DESCRIÇÃO</v>
      </c>
    </row>
    <row r="16" spans="1:27" x14ac:dyDescent="0.2">
      <c r="A16" s="23">
        <f ca="1">IF(K16="",OFFSET(A16,-1,0),IF(I16=1,OFFSET(A16,-1,0)+1,OFFSET(A16,-1,0)))</f>
        <v>1</v>
      </c>
      <c r="B16" s="23">
        <f ca="1">IF(K16="",OFFSET(B16,-1,0),IF(AND($I16&lt;=1,$I16&lt;&gt;0),0,IF($I16=2,OFFSET(B16,-1,0)+1,OFFSET(B16,-1,0))))</f>
        <v>0</v>
      </c>
      <c r="C16" s="23">
        <f ca="1">IF(K16="",OFFSET(C16,-1,0),IF(AND($I16&lt;=2,$I16&lt;&gt;0),0,IF($I16=3,OFFSET(C16,-1,0)+1,OFFSET(C16,-1,0))))</f>
        <v>0</v>
      </c>
      <c r="D16" s="23">
        <f ca="1">IF(K16="",OFFSET(D16,-1,0),IF(AND($I16&lt;=3,$I16&lt;&gt;0),0,IF($I16=4,OFFSET(D16,-1,0)+1,OFFSET(D16,-1,0))))</f>
        <v>0</v>
      </c>
      <c r="E16" s="23">
        <f ca="1">IF(K16="",OFFSET(E16,-1,0),IF(AND($I16&lt;=4,$I16&lt;&gt;0),0,IF($I16=5,OFFSET(E16,-1,0)+1,OFFSET(E16,-1,0))))</f>
        <v>0</v>
      </c>
      <c r="F16" s="6" t="str">
        <f>IF(OR(ISBLANK(O16),O16="",O16=0,O16="0",ISERROR(O16)),"DESCRIÇÃO",IF(OR(ISBLANK(P16),P16="",P16=0,P16="0",ISERROR(P16)),"UNIDADE",IF(OR(ISBLANK(Q16),Q16="",Q16=0,Q16="0",ISERROR(VALUE(Q16))),"QUANTIDADE",IF(ISBLANK(M16),"FONTE",IF(ISBLANK(N16),"CÓDIGO",IF(ISBLANK(R16),"CUSTO UNITÁRIO",IF(ISBLANK(S16),"BDI","OK")))))))</f>
        <v>UNIDADE</v>
      </c>
      <c r="G16" s="213">
        <f t="shared" si="0"/>
        <v>9.9899999999999993E+22</v>
      </c>
      <c r="H16" s="6" t="str">
        <f ca="1">IF(OR(AND(ISERROR(G16),I16&lt;&gt;"L"),J16=0),"NÍVEL",IF(F16="DESCRIÇÃO",IF(J16&lt;&gt;"S",F16,IF(OR(J15&lt;&gt;"S",NOT(AND(ISBLANK(M16),ISBLANK(N16),ISBLANK(P16),Q16=0,ISBLANK(R16)))),F16,"OK")),IF(J16="S",F16,"OK")))</f>
        <v>OK</v>
      </c>
      <c r="I16" s="23">
        <f ca="1">IF(OR(K16="Serviço",K16=""),IF(OR(OFFSET(K16,-1,0)="Serviço",OFFSET(K16,-1,0)=""),OFFSET(I16,-1,0),OFFSET(I16,-1,0)+1),MIN(MATCH(K16,$A$6:$A$10,0),1))</f>
        <v>1</v>
      </c>
      <c r="J16" s="214">
        <f t="shared" ref="J16:J47" ca="1" si="1">IF(AND(K16&lt;&gt;"",K16&lt;&gt;"Serviço"),PO.NúmeroNível+1000^(5-I16))</f>
        <v>2000000000000</v>
      </c>
      <c r="K16" s="212" t="s">
        <v>281</v>
      </c>
      <c r="L16" s="165" t="str">
        <f ca="1">IF(K16="","",CONCATENATE(IF($A16=0,"",$A16),IF($B16=0,"","." &amp;$B16),IF($C16=0,"","." &amp;$C16),IF($D16=0,"","." &amp;$D16),IF($E16=0,"","." &amp;$E16)))</f>
        <v>1</v>
      </c>
      <c r="M16" s="158"/>
      <c r="N16" s="158"/>
      <c r="O16" s="158" t="s">
        <v>257</v>
      </c>
      <c r="P16" s="159"/>
      <c r="Q16" s="160">
        <f>PLQ!E16</f>
        <v>0</v>
      </c>
      <c r="R16" s="161"/>
      <c r="S16" s="162" t="s">
        <v>133</v>
      </c>
      <c r="T16" s="160" t="str">
        <f t="shared" ref="T16:T47" ca="1" si="2">IF(OR($K16="",$K16="Serviço"),ROUND(ROUND($R16,2)*IF(TipoOrçamento="LICITADO",1,ROUND(1+IF(ISERROR(MATCH($S16,Dados.Lista.BDI,0)),VALUE($S16),INDEX(OFFSET(Dados.Lista.BDI,0,1),MATCH($S16,Dados.Lista.BDI,0),1)),4)),2),"")</f>
        <v/>
      </c>
      <c r="U16" s="209">
        <f t="shared" ref="U16:U47" ca="1" si="3">IF(NOT(J16),IF(ISERROR($Q16*$T16),0,ROUND($Q16*$T16,2)),ROUND(SUMIF(OFFSET(G16,1,0,ROW($L$48)-ROW(G16)),"&lt;"&amp;J16,OFFSET(U16,1,0,ROW($L$48)-ROW(G16))),2))</f>
        <v>0</v>
      </c>
      <c r="V16" s="22" t="str">
        <f ca="1">IF($H16&lt;&gt;"OK",$H16,"")</f>
        <v/>
      </c>
      <c r="W16" s="4">
        <f ca="1">IF(AND($K16&lt;&gt;"",$K16&lt;&gt;"Serviço",I16&lt;=2),MAX(W$15:OFFSET(W16,-1,0))+1,"")</f>
        <v>1</v>
      </c>
      <c r="AA16" s="4">
        <f ca="1">IF(ISNUMBER(S16),S16,IF(LEFT(S16,3)="BDI",VLOOKUP(S16,DADOS!$E$128:$F$132,2,FALSE),0))</f>
        <v>0.24229999999999999</v>
      </c>
    </row>
    <row r="17" spans="1:27" x14ac:dyDescent="0.2">
      <c r="A17" s="23">
        <f t="shared" ref="A17:A47" ca="1" si="4">IF(K17="",OFFSET(A17,-1,0),IF(I17=1,OFFSET(A17,-1,0)+1,OFFSET(A17,-1,0)))</f>
        <v>1</v>
      </c>
      <c r="B17" s="23">
        <f t="shared" ref="B17:B47" ca="1" si="5">IF(K17="",OFFSET(B17,-1,0),IF(AND($I17&lt;=1,$I17&lt;&gt;0),0,IF($I17=2,OFFSET(B17,-1,0)+1,OFFSET(B17,-1,0))))</f>
        <v>1</v>
      </c>
      <c r="C17" s="23">
        <f t="shared" ref="C17:C47" ca="1" si="6">IF(K17="",OFFSET(C17,-1,0),IF(AND($I17&lt;=2,$I17&lt;&gt;0),0,IF($I17=3,OFFSET(C17,-1,0)+1,OFFSET(C17,-1,0))))</f>
        <v>0</v>
      </c>
      <c r="D17" s="23">
        <f t="shared" ref="D17:D47" ca="1" si="7">IF(K17="",OFFSET(D17,-1,0),IF(AND($I17&lt;=3,$I17&lt;&gt;0),0,IF($I17=4,OFFSET(D17,-1,0)+1,OFFSET(D17,-1,0))))</f>
        <v>0</v>
      </c>
      <c r="E17" s="23">
        <f t="shared" ref="E17:E47" ca="1" si="8">IF(K17="",OFFSET(E17,-1,0),IF(AND($I17&lt;=4,$I17&lt;&gt;0),0,IF($I17=5,OFFSET(E17,-1,0)+1,OFFSET(E17,-1,0))))</f>
        <v>0</v>
      </c>
      <c r="F17" s="6" t="str">
        <f t="shared" ref="F17:F47" si="9">IF(OR(ISBLANK(O17),O17="",O17=0,O17="0",ISERROR(O17)),"DESCRIÇÃO",IF(OR(ISBLANK(P17),P17="",P17=0,P17="0",ISERROR(P17)),"UNIDADE",IF(OR(ISBLANK(Q17),Q17="",Q17=0,Q17="0",ISERROR(VALUE(Q17))),"QUANTIDADE",IF(M17="","FONTE",IF(N17="","CÓDIGO",IF(R17="","CUSTO UNITÁRIO",IF(S17="","BDI","OK")))))))</f>
        <v>UNIDADE</v>
      </c>
      <c r="G17" s="213">
        <f t="shared" si="0"/>
        <v>9.9899999999999993E+22</v>
      </c>
      <c r="H17" s="6" t="str">
        <f t="shared" ref="H17:H47" ca="1" si="10">IF(OR(AND(ISERROR(G17),I17&lt;&gt;"L"),J17=0),"NÍVEL",IF(F17="DESCRIÇÃO",IF(J17&lt;&gt;"S",F17,IF(OR(J16&lt;&gt;"S",NOT(AND(ISBLANK(M17),ISBLANK(N17),ISBLANK(P17),Q17=0,ISBLANK(R17)))),F17,"OK")),IF(J17="S",F17,"OK")))</f>
        <v>OK</v>
      </c>
      <c r="I17" s="23">
        <f ca="1">IF(OR(K17="Serviço",K17=""),IF(OR(OFFSET(K17,-1,0)="Serviço",OFFSET(K17,-1,0)=""),OFFSET(I17,-1,0),OFFSET(I17,-1,0)+1),MIN(MATCH(K17,$A$6:$A$10,0),OFFSET(I17,-1,0)+1))</f>
        <v>2</v>
      </c>
      <c r="J17" s="214">
        <f t="shared" ca="1" si="1"/>
        <v>1002000000000</v>
      </c>
      <c r="K17" s="212" t="s">
        <v>282</v>
      </c>
      <c r="L17" s="165" t="str">
        <f ca="1">IF(K17="","",CONCATENATE(IF($A17=0,"",$A17),IF($B17=0,"","." &amp;$B17),IF($C17=0,"","." &amp;$C17),IF($D17=0,"","." &amp;$D17),IF($E17=0,"","." &amp;$E17)))</f>
        <v>1.1</v>
      </c>
      <c r="M17" s="158"/>
      <c r="N17" s="158"/>
      <c r="O17" s="158" t="s">
        <v>286</v>
      </c>
      <c r="P17" s="159"/>
      <c r="Q17" s="160">
        <f>PLQ!E17</f>
        <v>0</v>
      </c>
      <c r="R17" s="161"/>
      <c r="S17" s="162" t="s">
        <v>133</v>
      </c>
      <c r="T17" s="160" t="str">
        <f t="shared" ca="1" si="2"/>
        <v/>
      </c>
      <c r="U17" s="209">
        <f t="shared" ca="1" si="3"/>
        <v>0</v>
      </c>
      <c r="V17" s="22" t="str">
        <f t="shared" ref="V17:V47" ca="1" si="11">IF($H17&lt;&gt;"OK",$H17,"")</f>
        <v/>
      </c>
      <c r="W17" s="4">
        <f ca="1">IF(AND($K17&lt;&gt;"",$K17&lt;&gt;"Serviço",I17&lt;=2),MAX(W$15:OFFSET(W17,-1,0))+1,"")</f>
        <v>2</v>
      </c>
      <c r="AA17" s="4">
        <f ca="1">IF(ISNUMBER(S17),S17,IF(LEFT(S17,3)="BDI",VLOOKUP(S17,DADOS!$E$128:$F$132,2,FALSE),0))</f>
        <v>0.24229999999999999</v>
      </c>
    </row>
    <row r="18" spans="1:27" x14ac:dyDescent="0.2">
      <c r="A18" s="23">
        <f ca="1">IF(K18="",OFFSET(A18,-1,0),IF(I18=1,OFFSET(A18,-1,0)+1,OFFSET(A18,-1,0)))</f>
        <v>1</v>
      </c>
      <c r="B18" s="23">
        <f ca="1">IF(K18="",OFFSET(B18,-1,0),IF(AND($I18&lt;=1,$I18&lt;&gt;0),0,IF($I18=2,OFFSET(B18,-1,0)+1,OFFSET(B18,-1,0))))</f>
        <v>1</v>
      </c>
      <c r="C18" s="23">
        <f ca="1">IF(K18="",OFFSET(C18,-1,0),IF(AND($I18&lt;=2,$I18&lt;&gt;0),0,IF($I18=3,OFFSET(C18,-1,0)+1,OFFSET(C18,-1,0))))</f>
        <v>1</v>
      </c>
      <c r="D18" s="23">
        <f ca="1">IF(K18="",OFFSET(D18,-1,0),IF(AND($I18&lt;=3,$I18&lt;&gt;0),0,IF($I18=4,OFFSET(D18,-1,0)+1,OFFSET(D18,-1,0))))</f>
        <v>0</v>
      </c>
      <c r="E18" s="23">
        <f ca="1">IF(K18="",OFFSET(E18,-1,0),IF(AND($I18&lt;=4,$I18&lt;&gt;0),0,IF($I18=5,OFFSET(E18,-1,0)+1,OFFSET(E18,-1,0))))</f>
        <v>0</v>
      </c>
      <c r="F18" s="6" t="str">
        <f>IF(OR(ISBLANK(O18),O18="",O18=0,O18="0",ISERROR(O18)),"DESCRIÇÃO",IF(OR(ISBLANK(P18),P18="",P18=0,P18="0",ISERROR(P18)),"UNIDADE",IF(OR(ISBLANK(Q18),Q18="",Q18=0,Q18="0",ISERROR(VALUE(Q18))),"QUANTIDADE",IF(M18="","FONTE",IF(N18="","CÓDIGO",IF(R18="","CUSTO UNITÁRIO",IF(S18="","BDI","OK")))))))</f>
        <v>DESCRIÇÃO</v>
      </c>
      <c r="G18" s="213">
        <f ca="1">IF(OR(K18="",K18="Serviço"),PO.NúmeroNível,9.99E+22)</f>
        <v>1001001000000</v>
      </c>
      <c r="H18" s="6" t="str">
        <f ca="1">IF(OR(AND(ISERROR(G18),I18&lt;&gt;"L"),J18=0),"NÍVEL",IF(F18="DESCRIÇÃO",IF(J18&lt;&gt;"S",F18,IF(OR(J17&lt;&gt;"S",NOT(AND(ISBLANK(M18),ISBLANK(N18),ISBLANK(P18),Q18=0,ISBLANK(R18)))),F18,"OK")),IF(J18="S",F18,"OK")))</f>
        <v>DESCRIÇÃO</v>
      </c>
      <c r="I18" s="23">
        <f ca="1">IF(OR(K18="Serviço",K18=""),IF(OR(OFFSET(K18,-1,0)="Serviço",OFFSET(K18,-1,0)=""),OFFSET(I18,-1,0),OFFSET(I18,-1,0)+1),MIN(MATCH(K18,$A$6:$A$10,0),OFFSET(I18,-1,0)+1))</f>
        <v>3</v>
      </c>
      <c r="J18" s="214" t="b">
        <f>IF(AND(K18&lt;&gt;"",K18&lt;&gt;"Serviço"),PO.NúmeroNível+1000^(5-I18))</f>
        <v>0</v>
      </c>
      <c r="K18" s="212" t="s">
        <v>285</v>
      </c>
      <c r="L18" s="165" t="str">
        <f ca="1">IF(K18="","",CONCATENATE(IF($A18=0,"",$A18),IF($B18=0,"","." &amp;$B18),IF($C18=0,"","." &amp;$C18),IF($D18=0,"","." &amp;$D18),IF($E18=0,"","." &amp;$E18)))</f>
        <v>1.1.1</v>
      </c>
      <c r="M18" s="158"/>
      <c r="N18" s="158"/>
      <c r="O18" s="158"/>
      <c r="P18" s="159"/>
      <c r="Q18" s="160">
        <f>PLQ!E18</f>
        <v>0</v>
      </c>
      <c r="R18" s="161"/>
      <c r="S18" s="162" t="s">
        <v>133</v>
      </c>
      <c r="T18" s="160">
        <f ca="1">IF(OR($K18="",$K18="Serviço"),ROUND(ROUND($R18,2)*IF(TipoOrçamento="LICITADO",1,ROUND(1+IF(ISERROR(MATCH($S18,Dados.Lista.BDI,0)),VALUE($S18),INDEX(OFFSET(Dados.Lista.BDI,0,1),MATCH($S18,Dados.Lista.BDI,0),1)),4)),2),"")</f>
        <v>0</v>
      </c>
      <c r="U18" s="209">
        <f t="shared" ca="1" si="3"/>
        <v>0</v>
      </c>
      <c r="V18" s="22" t="str">
        <f ca="1">IF($H18&lt;&gt;"OK",$H18,"")</f>
        <v>DESCRIÇÃO</v>
      </c>
      <c r="W18" s="4" t="str">
        <f ca="1">IF(AND($K18&lt;&gt;"",$K18&lt;&gt;"Serviço",I18&lt;=2),MAX(W$15:OFFSET(W18,-1,0))+1,"")</f>
        <v/>
      </c>
      <c r="AA18" s="4">
        <f ca="1">IF(ISNUMBER(S18),S18,IF(LEFT(S18,3)="BDI",VLOOKUP(S18,DADOS!$E$128:$F$132,2,FALSE),0))</f>
        <v>0.24229999999999999</v>
      </c>
    </row>
    <row r="19" spans="1:27" x14ac:dyDescent="0.2">
      <c r="A19" s="23">
        <f t="shared" ca="1" si="4"/>
        <v>1</v>
      </c>
      <c r="B19" s="23">
        <f t="shared" ca="1" si="5"/>
        <v>1</v>
      </c>
      <c r="C19" s="23">
        <f t="shared" ca="1" si="6"/>
        <v>2</v>
      </c>
      <c r="D19" s="23">
        <f t="shared" ca="1" si="7"/>
        <v>0</v>
      </c>
      <c r="E19" s="23">
        <f t="shared" ca="1" si="8"/>
        <v>0</v>
      </c>
      <c r="F19" s="6" t="str">
        <f t="shared" si="9"/>
        <v>DESCRIÇÃO</v>
      </c>
      <c r="G19" s="213">
        <f t="shared" ca="1" si="0"/>
        <v>1001002000000</v>
      </c>
      <c r="H19" s="6" t="str">
        <f t="shared" ca="1" si="10"/>
        <v>DESCRIÇÃO</v>
      </c>
      <c r="I19" s="23">
        <f t="shared" ref="I19:I47" ca="1" si="12">IF(OR(K19="Serviço",K19=""),IF(OR(OFFSET(K19,-1,0)="Serviço",OFFSET(K19,-1,0)=""),OFFSET(I19,-1,0),OFFSET(I19,-1,0)+1),MIN(MATCH(K19,$A$6:$A$10,0),OFFSET(I19,-1,0)+1))</f>
        <v>3</v>
      </c>
      <c r="J19" s="214" t="b">
        <f t="shared" si="1"/>
        <v>0</v>
      </c>
      <c r="K19" s="212" t="s">
        <v>285</v>
      </c>
      <c r="L19" s="165" t="str">
        <f t="shared" ref="L19:L47" ca="1" si="13">IF(K19="","",CONCATENATE(IF($A19=0,"",$A19),IF($B19=0,"","." &amp;$B19),IF($C19=0,"","." &amp;$C19),IF($D19=0,"","." &amp;$D19),IF($E19=0,"","." &amp;$E19)))</f>
        <v>1.1.2</v>
      </c>
      <c r="M19" s="158"/>
      <c r="N19" s="158"/>
      <c r="O19" s="158"/>
      <c r="P19" s="159"/>
      <c r="Q19" s="160">
        <f>PLQ!E19</f>
        <v>0</v>
      </c>
      <c r="R19" s="161"/>
      <c r="S19" s="162" t="s">
        <v>133</v>
      </c>
      <c r="T19" s="160">
        <f t="shared" ca="1" si="2"/>
        <v>0</v>
      </c>
      <c r="U19" s="209">
        <f t="shared" ca="1" si="3"/>
        <v>0</v>
      </c>
      <c r="V19" s="22" t="str">
        <f t="shared" ca="1" si="11"/>
        <v>DESCRIÇÃO</v>
      </c>
      <c r="W19" s="4" t="str">
        <f ca="1">IF(AND($K19&lt;&gt;"",$K19&lt;&gt;"Serviço",I19&lt;=2),MAX(W$15:OFFSET(W19,-1,0))+1,"")</f>
        <v/>
      </c>
      <c r="AA19" s="4">
        <f ca="1">IF(ISNUMBER(S19),S19,IF(LEFT(S19,3)="BDI",VLOOKUP(S19,DADOS!$E$128:$F$132,2,FALSE),0))</f>
        <v>0.24229999999999999</v>
      </c>
    </row>
    <row r="20" spans="1:27" x14ac:dyDescent="0.2">
      <c r="A20" s="23">
        <f t="shared" ca="1" si="4"/>
        <v>1</v>
      </c>
      <c r="B20" s="23">
        <f t="shared" ca="1" si="5"/>
        <v>1</v>
      </c>
      <c r="C20" s="23">
        <f t="shared" ca="1" si="6"/>
        <v>3</v>
      </c>
      <c r="D20" s="23">
        <f t="shared" ca="1" si="7"/>
        <v>0</v>
      </c>
      <c r="E20" s="23">
        <f t="shared" ca="1" si="8"/>
        <v>0</v>
      </c>
      <c r="F20" s="6" t="str">
        <f t="shared" si="9"/>
        <v>DESCRIÇÃO</v>
      </c>
      <c r="G20" s="213">
        <f t="shared" ca="1" si="0"/>
        <v>1001003000000</v>
      </c>
      <c r="H20" s="6" t="str">
        <f t="shared" ca="1" si="10"/>
        <v>DESCRIÇÃO</v>
      </c>
      <c r="I20" s="23">
        <f t="shared" ca="1" si="12"/>
        <v>3</v>
      </c>
      <c r="J20" s="214" t="b">
        <f t="shared" si="1"/>
        <v>0</v>
      </c>
      <c r="K20" s="212" t="s">
        <v>285</v>
      </c>
      <c r="L20" s="165" t="str">
        <f t="shared" ca="1" si="13"/>
        <v>1.1.3</v>
      </c>
      <c r="M20" s="158"/>
      <c r="N20" s="158"/>
      <c r="O20" s="158"/>
      <c r="P20" s="159"/>
      <c r="Q20" s="160">
        <f>PLQ!E20</f>
        <v>0</v>
      </c>
      <c r="R20" s="161"/>
      <c r="S20" s="162" t="s">
        <v>133</v>
      </c>
      <c r="T20" s="160">
        <f t="shared" ca="1" si="2"/>
        <v>0</v>
      </c>
      <c r="U20" s="209">
        <f t="shared" ca="1" si="3"/>
        <v>0</v>
      </c>
      <c r="V20" s="22" t="str">
        <f t="shared" ca="1" si="11"/>
        <v>DESCRIÇÃO</v>
      </c>
      <c r="W20" s="4" t="str">
        <f ca="1">IF(AND($K20&lt;&gt;"",$K20&lt;&gt;"Serviço",I20&lt;=2),MAX(W$15:OFFSET(W20,-1,0))+1,"")</f>
        <v/>
      </c>
      <c r="AA20" s="4">
        <f ca="1">IF(ISNUMBER(S20),S20,IF(LEFT(S20,3)="BDI",VLOOKUP(S20,DADOS!$E$128:$F$132,2,FALSE),0))</f>
        <v>0.24229999999999999</v>
      </c>
    </row>
    <row r="21" spans="1:27" x14ac:dyDescent="0.2">
      <c r="A21" s="23">
        <f t="shared" ca="1" si="4"/>
        <v>1</v>
      </c>
      <c r="B21" s="23">
        <f t="shared" ca="1" si="5"/>
        <v>1</v>
      </c>
      <c r="C21" s="23">
        <f t="shared" ca="1" si="6"/>
        <v>4</v>
      </c>
      <c r="D21" s="23">
        <f t="shared" ca="1" si="7"/>
        <v>0</v>
      </c>
      <c r="E21" s="23">
        <f t="shared" ca="1" si="8"/>
        <v>0</v>
      </c>
      <c r="F21" s="6" t="str">
        <f t="shared" si="9"/>
        <v>DESCRIÇÃO</v>
      </c>
      <c r="G21" s="213">
        <f t="shared" ca="1" si="0"/>
        <v>1001004000000</v>
      </c>
      <c r="H21" s="6" t="str">
        <f t="shared" ca="1" si="10"/>
        <v>DESCRIÇÃO</v>
      </c>
      <c r="I21" s="23">
        <f t="shared" ca="1" si="12"/>
        <v>3</v>
      </c>
      <c r="J21" s="214" t="b">
        <f t="shared" si="1"/>
        <v>0</v>
      </c>
      <c r="K21" s="212" t="s">
        <v>285</v>
      </c>
      <c r="L21" s="165" t="str">
        <f t="shared" ca="1" si="13"/>
        <v>1.1.4</v>
      </c>
      <c r="M21" s="158"/>
      <c r="N21" s="158"/>
      <c r="O21" s="158"/>
      <c r="P21" s="159"/>
      <c r="Q21" s="160">
        <f>PLQ!E21</f>
        <v>0</v>
      </c>
      <c r="R21" s="161"/>
      <c r="S21" s="162" t="s">
        <v>133</v>
      </c>
      <c r="T21" s="160">
        <f t="shared" ca="1" si="2"/>
        <v>0</v>
      </c>
      <c r="U21" s="209">
        <f t="shared" ca="1" si="3"/>
        <v>0</v>
      </c>
      <c r="V21" s="22" t="str">
        <f t="shared" ca="1" si="11"/>
        <v>DESCRIÇÃO</v>
      </c>
      <c r="W21" s="4" t="str">
        <f ca="1">IF(AND($K21&lt;&gt;"",$K21&lt;&gt;"Serviço",I21&lt;=2),MAX(W$15:OFFSET(W21,-1,0))+1,"")</f>
        <v/>
      </c>
      <c r="AA21" s="4">
        <f ca="1">IF(ISNUMBER(S21),S21,IF(LEFT(S21,3)="BDI",VLOOKUP(S21,DADOS!$E$128:$F$132,2,FALSE),0))</f>
        <v>0.24229999999999999</v>
      </c>
    </row>
    <row r="22" spans="1:27" x14ac:dyDescent="0.2">
      <c r="A22" s="23">
        <f t="shared" ca="1" si="4"/>
        <v>1</v>
      </c>
      <c r="B22" s="23">
        <f t="shared" ca="1" si="5"/>
        <v>1</v>
      </c>
      <c r="C22" s="23">
        <f t="shared" ca="1" si="6"/>
        <v>5</v>
      </c>
      <c r="D22" s="23">
        <f t="shared" ca="1" si="7"/>
        <v>0</v>
      </c>
      <c r="E22" s="23">
        <f t="shared" ca="1" si="8"/>
        <v>0</v>
      </c>
      <c r="F22" s="6" t="str">
        <f t="shared" si="9"/>
        <v>DESCRIÇÃO</v>
      </c>
      <c r="G22" s="213">
        <f t="shared" ca="1" si="0"/>
        <v>1001005000000</v>
      </c>
      <c r="H22" s="6" t="str">
        <f t="shared" ca="1" si="10"/>
        <v>DESCRIÇÃO</v>
      </c>
      <c r="I22" s="23">
        <f t="shared" ca="1" si="12"/>
        <v>3</v>
      </c>
      <c r="J22" s="214" t="b">
        <f t="shared" si="1"/>
        <v>0</v>
      </c>
      <c r="K22" s="212" t="s">
        <v>285</v>
      </c>
      <c r="L22" s="165" t="str">
        <f t="shared" ca="1" si="13"/>
        <v>1.1.5</v>
      </c>
      <c r="M22" s="158"/>
      <c r="N22" s="158"/>
      <c r="O22" s="158"/>
      <c r="P22" s="159"/>
      <c r="Q22" s="160">
        <f>PLQ!E22</f>
        <v>0</v>
      </c>
      <c r="R22" s="161"/>
      <c r="S22" s="162" t="s">
        <v>133</v>
      </c>
      <c r="T22" s="160">
        <f t="shared" ca="1" si="2"/>
        <v>0</v>
      </c>
      <c r="U22" s="209">
        <f t="shared" ca="1" si="3"/>
        <v>0</v>
      </c>
      <c r="V22" s="22" t="str">
        <f t="shared" ca="1" si="11"/>
        <v>DESCRIÇÃO</v>
      </c>
      <c r="W22" s="4" t="str">
        <f ca="1">IF(AND($K22&lt;&gt;"",$K22&lt;&gt;"Serviço",I22&lt;=2),MAX(W$15:OFFSET(W22,-1,0))+1,"")</f>
        <v/>
      </c>
      <c r="AA22" s="4">
        <f ca="1">IF(ISNUMBER(S22),S22,IF(LEFT(S22,3)="BDI",VLOOKUP(S22,DADOS!$E$128:$F$132,2,FALSE),0))</f>
        <v>0.24229999999999999</v>
      </c>
    </row>
    <row r="23" spans="1:27" x14ac:dyDescent="0.2">
      <c r="A23" s="23">
        <f t="shared" ca="1" si="4"/>
        <v>1</v>
      </c>
      <c r="B23" s="23">
        <f t="shared" ca="1" si="5"/>
        <v>1</v>
      </c>
      <c r="C23" s="23">
        <f t="shared" ca="1" si="6"/>
        <v>6</v>
      </c>
      <c r="D23" s="23">
        <f t="shared" ca="1" si="7"/>
        <v>0</v>
      </c>
      <c r="E23" s="23">
        <f t="shared" ca="1" si="8"/>
        <v>0</v>
      </c>
      <c r="F23" s="6" t="str">
        <f t="shared" si="9"/>
        <v>DESCRIÇÃO</v>
      </c>
      <c r="G23" s="213">
        <f t="shared" ca="1" si="0"/>
        <v>1001006000000</v>
      </c>
      <c r="H23" s="6" t="str">
        <f t="shared" ca="1" si="10"/>
        <v>DESCRIÇÃO</v>
      </c>
      <c r="I23" s="23">
        <f t="shared" ca="1" si="12"/>
        <v>3</v>
      </c>
      <c r="J23" s="214" t="b">
        <f t="shared" si="1"/>
        <v>0</v>
      </c>
      <c r="K23" s="212" t="s">
        <v>285</v>
      </c>
      <c r="L23" s="165" t="str">
        <f t="shared" ca="1" si="13"/>
        <v>1.1.6</v>
      </c>
      <c r="M23" s="158"/>
      <c r="N23" s="158"/>
      <c r="O23" s="158"/>
      <c r="P23" s="159"/>
      <c r="Q23" s="160">
        <f>PLQ!E23</f>
        <v>0</v>
      </c>
      <c r="R23" s="161"/>
      <c r="S23" s="162" t="s">
        <v>133</v>
      </c>
      <c r="T23" s="160">
        <f t="shared" ca="1" si="2"/>
        <v>0</v>
      </c>
      <c r="U23" s="209">
        <f t="shared" ca="1" si="3"/>
        <v>0</v>
      </c>
      <c r="V23" s="22" t="str">
        <f t="shared" ca="1" si="11"/>
        <v>DESCRIÇÃO</v>
      </c>
      <c r="W23" s="4" t="str">
        <f ca="1">IF(AND($K23&lt;&gt;"",$K23&lt;&gt;"Serviço",I23&lt;=2),MAX(W$15:OFFSET(W23,-1,0))+1,"")</f>
        <v/>
      </c>
      <c r="AA23" s="4">
        <f ca="1">IF(ISNUMBER(S23),S23,IF(LEFT(S23,3)="BDI",VLOOKUP(S23,DADOS!$E$128:$F$132,2,FALSE),0))</f>
        <v>0.24229999999999999</v>
      </c>
    </row>
    <row r="24" spans="1:27" x14ac:dyDescent="0.2">
      <c r="A24" s="23">
        <f t="shared" ca="1" si="4"/>
        <v>1</v>
      </c>
      <c r="B24" s="23">
        <f t="shared" ca="1" si="5"/>
        <v>1</v>
      </c>
      <c r="C24" s="23">
        <f t="shared" ca="1" si="6"/>
        <v>7</v>
      </c>
      <c r="D24" s="23">
        <f t="shared" ca="1" si="7"/>
        <v>0</v>
      </c>
      <c r="E24" s="23">
        <f t="shared" ca="1" si="8"/>
        <v>0</v>
      </c>
      <c r="F24" s="6" t="str">
        <f t="shared" si="9"/>
        <v>DESCRIÇÃO</v>
      </c>
      <c r="G24" s="213">
        <f t="shared" ca="1" si="0"/>
        <v>1001007000000</v>
      </c>
      <c r="H24" s="6" t="str">
        <f t="shared" ca="1" si="10"/>
        <v>DESCRIÇÃO</v>
      </c>
      <c r="I24" s="23">
        <f t="shared" ca="1" si="12"/>
        <v>3</v>
      </c>
      <c r="J24" s="214" t="b">
        <f t="shared" si="1"/>
        <v>0</v>
      </c>
      <c r="K24" s="212" t="s">
        <v>285</v>
      </c>
      <c r="L24" s="165" t="str">
        <f t="shared" ca="1" si="13"/>
        <v>1.1.7</v>
      </c>
      <c r="M24" s="158"/>
      <c r="N24" s="158"/>
      <c r="O24" s="158"/>
      <c r="P24" s="159"/>
      <c r="Q24" s="160">
        <f>PLQ!E24</f>
        <v>0</v>
      </c>
      <c r="R24" s="161"/>
      <c r="S24" s="162" t="s">
        <v>133</v>
      </c>
      <c r="T24" s="160">
        <f t="shared" ca="1" si="2"/>
        <v>0</v>
      </c>
      <c r="U24" s="209">
        <f t="shared" ca="1" si="3"/>
        <v>0</v>
      </c>
      <c r="V24" s="22" t="str">
        <f t="shared" ca="1" si="11"/>
        <v>DESCRIÇÃO</v>
      </c>
      <c r="W24" s="4" t="str">
        <f ca="1">IF(AND($K24&lt;&gt;"",$K24&lt;&gt;"Serviço",I24&lt;=2),MAX(W$15:OFFSET(W24,-1,0))+1,"")</f>
        <v/>
      </c>
      <c r="AA24" s="4">
        <f ca="1">IF(ISNUMBER(S24),S24,IF(LEFT(S24,3)="BDI",VLOOKUP(S24,DADOS!$E$128:$F$132,2,FALSE),0))</f>
        <v>0.24229999999999999</v>
      </c>
    </row>
    <row r="25" spans="1:27" x14ac:dyDescent="0.2">
      <c r="A25" s="23">
        <f t="shared" ca="1" si="4"/>
        <v>1</v>
      </c>
      <c r="B25" s="23">
        <f t="shared" ca="1" si="5"/>
        <v>1</v>
      </c>
      <c r="C25" s="23">
        <f t="shared" ca="1" si="6"/>
        <v>8</v>
      </c>
      <c r="D25" s="23">
        <f t="shared" ca="1" si="7"/>
        <v>0</v>
      </c>
      <c r="E25" s="23">
        <f t="shared" ca="1" si="8"/>
        <v>0</v>
      </c>
      <c r="F25" s="6" t="str">
        <f t="shared" si="9"/>
        <v>DESCRIÇÃO</v>
      </c>
      <c r="G25" s="213">
        <f t="shared" ca="1" si="0"/>
        <v>1001008000000</v>
      </c>
      <c r="H25" s="6" t="str">
        <f t="shared" ca="1" si="10"/>
        <v>DESCRIÇÃO</v>
      </c>
      <c r="I25" s="23">
        <f t="shared" ca="1" si="12"/>
        <v>3</v>
      </c>
      <c r="J25" s="214" t="b">
        <f t="shared" si="1"/>
        <v>0</v>
      </c>
      <c r="K25" s="212" t="s">
        <v>285</v>
      </c>
      <c r="L25" s="165" t="str">
        <f t="shared" ca="1" si="13"/>
        <v>1.1.8</v>
      </c>
      <c r="M25" s="158"/>
      <c r="N25" s="158"/>
      <c r="O25" s="158"/>
      <c r="P25" s="159"/>
      <c r="Q25" s="160">
        <f>PLQ!E25</f>
        <v>0</v>
      </c>
      <c r="R25" s="161"/>
      <c r="S25" s="162" t="s">
        <v>133</v>
      </c>
      <c r="T25" s="160">
        <f t="shared" ca="1" si="2"/>
        <v>0</v>
      </c>
      <c r="U25" s="209">
        <f t="shared" ca="1" si="3"/>
        <v>0</v>
      </c>
      <c r="V25" s="22" t="str">
        <f t="shared" ca="1" si="11"/>
        <v>DESCRIÇÃO</v>
      </c>
      <c r="W25" s="4" t="str">
        <f ca="1">IF(AND($K25&lt;&gt;"",$K25&lt;&gt;"Serviço",I25&lt;=2),MAX(W$15:OFFSET(W25,-1,0))+1,"")</f>
        <v/>
      </c>
      <c r="AA25" s="4">
        <f ca="1">IF(ISNUMBER(S25),S25,IF(LEFT(S25,3)="BDI",VLOOKUP(S25,DADOS!$E$128:$F$132,2,FALSE),0))</f>
        <v>0.24229999999999999</v>
      </c>
    </row>
    <row r="26" spans="1:27" x14ac:dyDescent="0.2">
      <c r="A26" s="23">
        <f t="shared" ca="1" si="4"/>
        <v>1</v>
      </c>
      <c r="B26" s="23">
        <f t="shared" ca="1" si="5"/>
        <v>1</v>
      </c>
      <c r="C26" s="23">
        <f t="shared" ca="1" si="6"/>
        <v>9</v>
      </c>
      <c r="D26" s="23">
        <f t="shared" ca="1" si="7"/>
        <v>0</v>
      </c>
      <c r="E26" s="23">
        <f t="shared" ca="1" si="8"/>
        <v>0</v>
      </c>
      <c r="F26" s="6" t="str">
        <f t="shared" si="9"/>
        <v>DESCRIÇÃO</v>
      </c>
      <c r="G26" s="213">
        <f t="shared" ca="1" si="0"/>
        <v>1001009000000</v>
      </c>
      <c r="H26" s="6" t="str">
        <f t="shared" ca="1" si="10"/>
        <v>DESCRIÇÃO</v>
      </c>
      <c r="I26" s="23">
        <f t="shared" ca="1" si="12"/>
        <v>3</v>
      </c>
      <c r="J26" s="214" t="b">
        <f t="shared" si="1"/>
        <v>0</v>
      </c>
      <c r="K26" s="212" t="s">
        <v>285</v>
      </c>
      <c r="L26" s="165" t="str">
        <f t="shared" ca="1" si="13"/>
        <v>1.1.9</v>
      </c>
      <c r="M26" s="158"/>
      <c r="N26" s="158"/>
      <c r="O26" s="158"/>
      <c r="P26" s="159"/>
      <c r="Q26" s="160">
        <f>PLQ!E26</f>
        <v>0</v>
      </c>
      <c r="R26" s="161"/>
      <c r="S26" s="162" t="s">
        <v>133</v>
      </c>
      <c r="T26" s="160">
        <f t="shared" ca="1" si="2"/>
        <v>0</v>
      </c>
      <c r="U26" s="209">
        <f t="shared" ca="1" si="3"/>
        <v>0</v>
      </c>
      <c r="V26" s="22" t="str">
        <f t="shared" ca="1" si="11"/>
        <v>DESCRIÇÃO</v>
      </c>
      <c r="W26" s="4" t="str">
        <f ca="1">IF(AND($K26&lt;&gt;"",$K26&lt;&gt;"Serviço",I26&lt;=2),MAX(W$15:OFFSET(W26,-1,0))+1,"")</f>
        <v/>
      </c>
      <c r="AA26" s="4">
        <f ca="1">IF(ISNUMBER(S26),S26,IF(LEFT(S26,3)="BDI",VLOOKUP(S26,DADOS!$E$128:$F$132,2,FALSE),0))</f>
        <v>0.24229999999999999</v>
      </c>
    </row>
    <row r="27" spans="1:27" x14ac:dyDescent="0.2">
      <c r="A27" s="23">
        <f t="shared" ca="1" si="4"/>
        <v>1</v>
      </c>
      <c r="B27" s="23">
        <f t="shared" ca="1" si="5"/>
        <v>1</v>
      </c>
      <c r="C27" s="23">
        <f t="shared" ca="1" si="6"/>
        <v>10</v>
      </c>
      <c r="D27" s="23">
        <f t="shared" ca="1" si="7"/>
        <v>0</v>
      </c>
      <c r="E27" s="23">
        <f t="shared" ca="1" si="8"/>
        <v>0</v>
      </c>
      <c r="F27" s="6" t="str">
        <f t="shared" si="9"/>
        <v>DESCRIÇÃO</v>
      </c>
      <c r="G27" s="213">
        <f t="shared" ca="1" si="0"/>
        <v>1001010000000</v>
      </c>
      <c r="H27" s="6" t="str">
        <f t="shared" ca="1" si="10"/>
        <v>DESCRIÇÃO</v>
      </c>
      <c r="I27" s="23">
        <f t="shared" ca="1" si="12"/>
        <v>3</v>
      </c>
      <c r="J27" s="214" t="b">
        <f t="shared" si="1"/>
        <v>0</v>
      </c>
      <c r="K27" s="212" t="s">
        <v>285</v>
      </c>
      <c r="L27" s="165" t="str">
        <f t="shared" ca="1" si="13"/>
        <v>1.1.10</v>
      </c>
      <c r="M27" s="158"/>
      <c r="N27" s="158"/>
      <c r="O27" s="158"/>
      <c r="P27" s="159"/>
      <c r="Q27" s="160">
        <f>PLQ!E27</f>
        <v>0</v>
      </c>
      <c r="R27" s="161"/>
      <c r="S27" s="162" t="s">
        <v>133</v>
      </c>
      <c r="T27" s="160">
        <f t="shared" ca="1" si="2"/>
        <v>0</v>
      </c>
      <c r="U27" s="209">
        <f t="shared" ca="1" si="3"/>
        <v>0</v>
      </c>
      <c r="V27" s="22" t="str">
        <f t="shared" ca="1" si="11"/>
        <v>DESCRIÇÃO</v>
      </c>
      <c r="W27" s="4" t="str">
        <f ca="1">IF(AND($K27&lt;&gt;"",$K27&lt;&gt;"Serviço",I27&lt;=2),MAX(W$15:OFFSET(W27,-1,0))+1,"")</f>
        <v/>
      </c>
      <c r="AA27" s="4">
        <f ca="1">IF(ISNUMBER(S27),S27,IF(LEFT(S27,3)="BDI",VLOOKUP(S27,DADOS!$E$128:$F$132,2,FALSE),0))</f>
        <v>0.24229999999999999</v>
      </c>
    </row>
    <row r="28" spans="1:27" x14ac:dyDescent="0.2">
      <c r="A28" s="23">
        <f t="shared" ca="1" si="4"/>
        <v>1</v>
      </c>
      <c r="B28" s="23">
        <f t="shared" ca="1" si="5"/>
        <v>1</v>
      </c>
      <c r="C28" s="23">
        <f t="shared" ca="1" si="6"/>
        <v>11</v>
      </c>
      <c r="D28" s="23">
        <f t="shared" ca="1" si="7"/>
        <v>0</v>
      </c>
      <c r="E28" s="23">
        <f t="shared" ca="1" si="8"/>
        <v>0</v>
      </c>
      <c r="F28" s="6" t="str">
        <f t="shared" si="9"/>
        <v>DESCRIÇÃO</v>
      </c>
      <c r="G28" s="213">
        <f t="shared" ca="1" si="0"/>
        <v>1001011000000</v>
      </c>
      <c r="H28" s="6" t="str">
        <f t="shared" ca="1" si="10"/>
        <v>DESCRIÇÃO</v>
      </c>
      <c r="I28" s="23">
        <f t="shared" ca="1" si="12"/>
        <v>3</v>
      </c>
      <c r="J28" s="214" t="b">
        <f t="shared" si="1"/>
        <v>0</v>
      </c>
      <c r="K28" s="212" t="s">
        <v>285</v>
      </c>
      <c r="L28" s="165" t="str">
        <f t="shared" ca="1" si="13"/>
        <v>1.1.11</v>
      </c>
      <c r="M28" s="158"/>
      <c r="N28" s="158"/>
      <c r="O28" s="158"/>
      <c r="P28" s="159"/>
      <c r="Q28" s="160">
        <f>PLQ!E28</f>
        <v>0</v>
      </c>
      <c r="R28" s="161"/>
      <c r="S28" s="162" t="s">
        <v>133</v>
      </c>
      <c r="T28" s="160">
        <f t="shared" ca="1" si="2"/>
        <v>0</v>
      </c>
      <c r="U28" s="209">
        <f t="shared" ca="1" si="3"/>
        <v>0</v>
      </c>
      <c r="V28" s="22" t="str">
        <f t="shared" ca="1" si="11"/>
        <v>DESCRIÇÃO</v>
      </c>
      <c r="W28" s="4" t="str">
        <f ca="1">IF(AND($K28&lt;&gt;"",$K28&lt;&gt;"Serviço",I28&lt;=2),MAX(W$15:OFFSET(W28,-1,0))+1,"")</f>
        <v/>
      </c>
      <c r="AA28" s="4">
        <f ca="1">IF(ISNUMBER(S28),S28,IF(LEFT(S28,3)="BDI",VLOOKUP(S28,DADOS!$E$128:$F$132,2,FALSE),0))</f>
        <v>0.24229999999999999</v>
      </c>
    </row>
    <row r="29" spans="1:27" x14ac:dyDescent="0.2">
      <c r="A29" s="23">
        <f t="shared" ca="1" si="4"/>
        <v>1</v>
      </c>
      <c r="B29" s="23">
        <f t="shared" ca="1" si="5"/>
        <v>1</v>
      </c>
      <c r="C29" s="23">
        <f t="shared" ca="1" si="6"/>
        <v>12</v>
      </c>
      <c r="D29" s="23">
        <f t="shared" ca="1" si="7"/>
        <v>0</v>
      </c>
      <c r="E29" s="23">
        <f t="shared" ca="1" si="8"/>
        <v>0</v>
      </c>
      <c r="F29" s="6" t="str">
        <f t="shared" si="9"/>
        <v>DESCRIÇÃO</v>
      </c>
      <c r="G29" s="213">
        <f t="shared" ca="1" si="0"/>
        <v>1001012000000</v>
      </c>
      <c r="H29" s="6" t="str">
        <f t="shared" ca="1" si="10"/>
        <v>DESCRIÇÃO</v>
      </c>
      <c r="I29" s="23">
        <f t="shared" ca="1" si="12"/>
        <v>3</v>
      </c>
      <c r="J29" s="214" t="b">
        <f t="shared" si="1"/>
        <v>0</v>
      </c>
      <c r="K29" s="212" t="s">
        <v>285</v>
      </c>
      <c r="L29" s="165" t="str">
        <f t="shared" ca="1" si="13"/>
        <v>1.1.12</v>
      </c>
      <c r="M29" s="158"/>
      <c r="N29" s="158"/>
      <c r="O29" s="158"/>
      <c r="P29" s="159"/>
      <c r="Q29" s="160">
        <f>PLQ!E29</f>
        <v>0</v>
      </c>
      <c r="R29" s="161"/>
      <c r="S29" s="162" t="s">
        <v>133</v>
      </c>
      <c r="T29" s="160">
        <f t="shared" ca="1" si="2"/>
        <v>0</v>
      </c>
      <c r="U29" s="209">
        <f t="shared" ca="1" si="3"/>
        <v>0</v>
      </c>
      <c r="V29" s="22" t="str">
        <f t="shared" ca="1" si="11"/>
        <v>DESCRIÇÃO</v>
      </c>
      <c r="W29" s="4" t="str">
        <f ca="1">IF(AND($K29&lt;&gt;"",$K29&lt;&gt;"Serviço",I29&lt;=2),MAX(W$15:OFFSET(W29,-1,0))+1,"")</f>
        <v/>
      </c>
      <c r="AA29" s="4">
        <f ca="1">IF(ISNUMBER(S29),S29,IF(LEFT(S29,3)="BDI",VLOOKUP(S29,DADOS!$E$128:$F$132,2,FALSE),0))</f>
        <v>0.24229999999999999</v>
      </c>
    </row>
    <row r="30" spans="1:27" x14ac:dyDescent="0.2">
      <c r="A30" s="23">
        <f t="shared" ca="1" si="4"/>
        <v>1</v>
      </c>
      <c r="B30" s="23">
        <f t="shared" ca="1" si="5"/>
        <v>1</v>
      </c>
      <c r="C30" s="23">
        <f t="shared" ca="1" si="6"/>
        <v>13</v>
      </c>
      <c r="D30" s="23">
        <f t="shared" ca="1" si="7"/>
        <v>0</v>
      </c>
      <c r="E30" s="23">
        <f t="shared" ca="1" si="8"/>
        <v>0</v>
      </c>
      <c r="F30" s="6" t="str">
        <f t="shared" si="9"/>
        <v>DESCRIÇÃO</v>
      </c>
      <c r="G30" s="213">
        <f t="shared" ca="1" si="0"/>
        <v>1001013000000</v>
      </c>
      <c r="H30" s="6" t="str">
        <f t="shared" ca="1" si="10"/>
        <v>DESCRIÇÃO</v>
      </c>
      <c r="I30" s="23">
        <f t="shared" ca="1" si="12"/>
        <v>3</v>
      </c>
      <c r="J30" s="214" t="b">
        <f t="shared" si="1"/>
        <v>0</v>
      </c>
      <c r="K30" s="212" t="s">
        <v>285</v>
      </c>
      <c r="L30" s="165" t="str">
        <f t="shared" ca="1" si="13"/>
        <v>1.1.13</v>
      </c>
      <c r="M30" s="158"/>
      <c r="N30" s="158"/>
      <c r="O30" s="158"/>
      <c r="P30" s="159"/>
      <c r="Q30" s="160">
        <f>PLQ!E30</f>
        <v>0</v>
      </c>
      <c r="R30" s="161"/>
      <c r="S30" s="162" t="s">
        <v>133</v>
      </c>
      <c r="T30" s="160">
        <f t="shared" ca="1" si="2"/>
        <v>0</v>
      </c>
      <c r="U30" s="209">
        <f t="shared" ca="1" si="3"/>
        <v>0</v>
      </c>
      <c r="V30" s="22" t="str">
        <f t="shared" ca="1" si="11"/>
        <v>DESCRIÇÃO</v>
      </c>
      <c r="W30" s="4" t="str">
        <f ca="1">IF(AND($K30&lt;&gt;"",$K30&lt;&gt;"Serviço",I30&lt;=2),MAX(W$15:OFFSET(W30,-1,0))+1,"")</f>
        <v/>
      </c>
      <c r="AA30" s="4">
        <f ca="1">IF(ISNUMBER(S30),S30,IF(LEFT(S30,3)="BDI",VLOOKUP(S30,DADOS!$E$128:$F$132,2,FALSE),0))</f>
        <v>0.24229999999999999</v>
      </c>
    </row>
    <row r="31" spans="1:27" x14ac:dyDescent="0.2">
      <c r="A31" s="23">
        <f t="shared" ca="1" si="4"/>
        <v>1</v>
      </c>
      <c r="B31" s="23">
        <f t="shared" ca="1" si="5"/>
        <v>1</v>
      </c>
      <c r="C31" s="23">
        <f t="shared" ca="1" si="6"/>
        <v>14</v>
      </c>
      <c r="D31" s="23">
        <f t="shared" ca="1" si="7"/>
        <v>0</v>
      </c>
      <c r="E31" s="23">
        <f t="shared" ca="1" si="8"/>
        <v>0</v>
      </c>
      <c r="F31" s="6" t="str">
        <f t="shared" si="9"/>
        <v>DESCRIÇÃO</v>
      </c>
      <c r="G31" s="213">
        <f t="shared" ca="1" si="0"/>
        <v>1001014000000</v>
      </c>
      <c r="H31" s="6" t="str">
        <f t="shared" ca="1" si="10"/>
        <v>DESCRIÇÃO</v>
      </c>
      <c r="I31" s="23">
        <f t="shared" ca="1" si="12"/>
        <v>3</v>
      </c>
      <c r="J31" s="214" t="b">
        <f t="shared" si="1"/>
        <v>0</v>
      </c>
      <c r="K31" s="212" t="s">
        <v>285</v>
      </c>
      <c r="L31" s="165" t="str">
        <f t="shared" ca="1" si="13"/>
        <v>1.1.14</v>
      </c>
      <c r="M31" s="158"/>
      <c r="N31" s="158"/>
      <c r="O31" s="158"/>
      <c r="P31" s="159"/>
      <c r="Q31" s="160">
        <f>PLQ!E31</f>
        <v>0</v>
      </c>
      <c r="R31" s="161"/>
      <c r="S31" s="162" t="s">
        <v>133</v>
      </c>
      <c r="T31" s="160">
        <f t="shared" ca="1" si="2"/>
        <v>0</v>
      </c>
      <c r="U31" s="209">
        <f t="shared" ca="1" si="3"/>
        <v>0</v>
      </c>
      <c r="V31" s="22" t="str">
        <f t="shared" ca="1" si="11"/>
        <v>DESCRIÇÃO</v>
      </c>
      <c r="W31" s="4" t="str">
        <f ca="1">IF(AND($K31&lt;&gt;"",$K31&lt;&gt;"Serviço",I31&lt;=2),MAX(W$15:OFFSET(W31,-1,0))+1,"")</f>
        <v/>
      </c>
      <c r="AA31" s="4">
        <f ca="1">IF(ISNUMBER(S31),S31,IF(LEFT(S31,3)="BDI",VLOOKUP(S31,DADOS!$E$128:$F$132,2,FALSE),0))</f>
        <v>0.24229999999999999</v>
      </c>
    </row>
    <row r="32" spans="1:27" x14ac:dyDescent="0.2">
      <c r="A32" s="23">
        <f t="shared" ca="1" si="4"/>
        <v>1</v>
      </c>
      <c r="B32" s="23">
        <f t="shared" ca="1" si="5"/>
        <v>1</v>
      </c>
      <c r="C32" s="23">
        <f t="shared" ca="1" si="6"/>
        <v>15</v>
      </c>
      <c r="D32" s="23">
        <f t="shared" ca="1" si="7"/>
        <v>0</v>
      </c>
      <c r="E32" s="23">
        <f t="shared" ca="1" si="8"/>
        <v>0</v>
      </c>
      <c r="F32" s="6" t="str">
        <f t="shared" si="9"/>
        <v>DESCRIÇÃO</v>
      </c>
      <c r="G32" s="213">
        <f t="shared" ca="1" si="0"/>
        <v>1001015000000</v>
      </c>
      <c r="H32" s="6" t="str">
        <f t="shared" ca="1" si="10"/>
        <v>DESCRIÇÃO</v>
      </c>
      <c r="I32" s="23">
        <f t="shared" ca="1" si="12"/>
        <v>3</v>
      </c>
      <c r="J32" s="214" t="b">
        <f t="shared" si="1"/>
        <v>0</v>
      </c>
      <c r="K32" s="212" t="s">
        <v>285</v>
      </c>
      <c r="L32" s="165" t="str">
        <f t="shared" ca="1" si="13"/>
        <v>1.1.15</v>
      </c>
      <c r="M32" s="158"/>
      <c r="N32" s="158"/>
      <c r="O32" s="158"/>
      <c r="P32" s="159"/>
      <c r="Q32" s="160">
        <f>PLQ!E32</f>
        <v>0</v>
      </c>
      <c r="R32" s="161"/>
      <c r="S32" s="162" t="s">
        <v>133</v>
      </c>
      <c r="T32" s="160">
        <f t="shared" ca="1" si="2"/>
        <v>0</v>
      </c>
      <c r="U32" s="209">
        <f t="shared" ca="1" si="3"/>
        <v>0</v>
      </c>
      <c r="V32" s="22" t="str">
        <f t="shared" ca="1" si="11"/>
        <v>DESCRIÇÃO</v>
      </c>
      <c r="W32" s="4" t="str">
        <f ca="1">IF(AND($K32&lt;&gt;"",$K32&lt;&gt;"Serviço",I32&lt;=2),MAX(W$15:OFFSET(W32,-1,0))+1,"")</f>
        <v/>
      </c>
      <c r="AA32" s="4">
        <f ca="1">IF(ISNUMBER(S32),S32,IF(LEFT(S32,3)="BDI",VLOOKUP(S32,DADOS!$E$128:$F$132,2,FALSE),0))</f>
        <v>0.24229999999999999</v>
      </c>
    </row>
    <row r="33" spans="1:27" x14ac:dyDescent="0.2">
      <c r="A33" s="23">
        <f t="shared" ca="1" si="4"/>
        <v>1</v>
      </c>
      <c r="B33" s="23">
        <f t="shared" ca="1" si="5"/>
        <v>1</v>
      </c>
      <c r="C33" s="23">
        <f t="shared" ca="1" si="6"/>
        <v>16</v>
      </c>
      <c r="D33" s="23">
        <f t="shared" ca="1" si="7"/>
        <v>0</v>
      </c>
      <c r="E33" s="23">
        <f t="shared" ca="1" si="8"/>
        <v>0</v>
      </c>
      <c r="F33" s="6" t="str">
        <f t="shared" si="9"/>
        <v>DESCRIÇÃO</v>
      </c>
      <c r="G33" s="213">
        <f t="shared" ca="1" si="0"/>
        <v>1001016000000</v>
      </c>
      <c r="H33" s="6" t="str">
        <f t="shared" ca="1" si="10"/>
        <v>DESCRIÇÃO</v>
      </c>
      <c r="I33" s="23">
        <f t="shared" ca="1" si="12"/>
        <v>3</v>
      </c>
      <c r="J33" s="214" t="b">
        <f t="shared" si="1"/>
        <v>0</v>
      </c>
      <c r="K33" s="212" t="s">
        <v>285</v>
      </c>
      <c r="L33" s="165" t="str">
        <f t="shared" ca="1" si="13"/>
        <v>1.1.16</v>
      </c>
      <c r="M33" s="158"/>
      <c r="N33" s="158"/>
      <c r="O33" s="158"/>
      <c r="P33" s="159"/>
      <c r="Q33" s="160">
        <f>PLQ!E33</f>
        <v>0</v>
      </c>
      <c r="R33" s="161"/>
      <c r="S33" s="162" t="s">
        <v>133</v>
      </c>
      <c r="T33" s="160">
        <f t="shared" ca="1" si="2"/>
        <v>0</v>
      </c>
      <c r="U33" s="209">
        <f t="shared" ca="1" si="3"/>
        <v>0</v>
      </c>
      <c r="V33" s="22" t="str">
        <f t="shared" ca="1" si="11"/>
        <v>DESCRIÇÃO</v>
      </c>
      <c r="W33" s="4" t="str">
        <f ca="1">IF(AND($K33&lt;&gt;"",$K33&lt;&gt;"Serviço",I33&lt;=2),MAX(W$15:OFFSET(W33,-1,0))+1,"")</f>
        <v/>
      </c>
      <c r="AA33" s="4">
        <f ca="1">IF(ISNUMBER(S33),S33,IF(LEFT(S33,3)="BDI",VLOOKUP(S33,DADOS!$E$128:$F$132,2,FALSE),0))</f>
        <v>0.24229999999999999</v>
      </c>
    </row>
    <row r="34" spans="1:27" x14ac:dyDescent="0.2">
      <c r="A34" s="23">
        <f t="shared" ca="1" si="4"/>
        <v>1</v>
      </c>
      <c r="B34" s="23">
        <f t="shared" ca="1" si="5"/>
        <v>1</v>
      </c>
      <c r="C34" s="23">
        <f t="shared" ca="1" si="6"/>
        <v>17</v>
      </c>
      <c r="D34" s="23">
        <f t="shared" ca="1" si="7"/>
        <v>0</v>
      </c>
      <c r="E34" s="23">
        <f t="shared" ca="1" si="8"/>
        <v>0</v>
      </c>
      <c r="F34" s="6" t="str">
        <f t="shared" si="9"/>
        <v>DESCRIÇÃO</v>
      </c>
      <c r="G34" s="213">
        <f t="shared" ca="1" si="0"/>
        <v>1001017000000</v>
      </c>
      <c r="H34" s="6" t="str">
        <f t="shared" ca="1" si="10"/>
        <v>DESCRIÇÃO</v>
      </c>
      <c r="I34" s="23">
        <f t="shared" ca="1" si="12"/>
        <v>3</v>
      </c>
      <c r="J34" s="214" t="b">
        <f t="shared" si="1"/>
        <v>0</v>
      </c>
      <c r="K34" s="212" t="s">
        <v>285</v>
      </c>
      <c r="L34" s="165" t="str">
        <f t="shared" ca="1" si="13"/>
        <v>1.1.17</v>
      </c>
      <c r="M34" s="158"/>
      <c r="N34" s="158"/>
      <c r="O34" s="158"/>
      <c r="P34" s="159"/>
      <c r="Q34" s="160">
        <f>PLQ!E34</f>
        <v>0</v>
      </c>
      <c r="R34" s="161"/>
      <c r="S34" s="162" t="s">
        <v>133</v>
      </c>
      <c r="T34" s="160">
        <f t="shared" ca="1" si="2"/>
        <v>0</v>
      </c>
      <c r="U34" s="209">
        <f t="shared" ca="1" si="3"/>
        <v>0</v>
      </c>
      <c r="V34" s="22" t="str">
        <f t="shared" ca="1" si="11"/>
        <v>DESCRIÇÃO</v>
      </c>
      <c r="W34" s="4" t="str">
        <f ca="1">IF(AND($K34&lt;&gt;"",$K34&lt;&gt;"Serviço",I34&lt;=2),MAX(W$15:OFFSET(W34,-1,0))+1,"")</f>
        <v/>
      </c>
      <c r="AA34" s="4">
        <f ca="1">IF(ISNUMBER(S34),S34,IF(LEFT(S34,3)="BDI",VLOOKUP(S34,DADOS!$E$128:$F$132,2,FALSE),0))</f>
        <v>0.24229999999999999</v>
      </c>
    </row>
    <row r="35" spans="1:27" x14ac:dyDescent="0.2">
      <c r="A35" s="23">
        <f t="shared" ca="1" si="4"/>
        <v>1</v>
      </c>
      <c r="B35" s="23">
        <f t="shared" ca="1" si="5"/>
        <v>1</v>
      </c>
      <c r="C35" s="23">
        <f t="shared" ca="1" si="6"/>
        <v>18</v>
      </c>
      <c r="D35" s="23">
        <f t="shared" ca="1" si="7"/>
        <v>0</v>
      </c>
      <c r="E35" s="23">
        <f t="shared" ca="1" si="8"/>
        <v>0</v>
      </c>
      <c r="F35" s="6" t="str">
        <f t="shared" si="9"/>
        <v>DESCRIÇÃO</v>
      </c>
      <c r="G35" s="213">
        <f t="shared" ca="1" si="0"/>
        <v>1001018000000</v>
      </c>
      <c r="H35" s="6" t="str">
        <f t="shared" ca="1" si="10"/>
        <v>DESCRIÇÃO</v>
      </c>
      <c r="I35" s="23">
        <f t="shared" ca="1" si="12"/>
        <v>3</v>
      </c>
      <c r="J35" s="214" t="b">
        <f t="shared" si="1"/>
        <v>0</v>
      </c>
      <c r="K35" s="212" t="s">
        <v>285</v>
      </c>
      <c r="L35" s="165" t="str">
        <f t="shared" ca="1" si="13"/>
        <v>1.1.18</v>
      </c>
      <c r="M35" s="158"/>
      <c r="N35" s="158"/>
      <c r="O35" s="158"/>
      <c r="P35" s="159"/>
      <c r="Q35" s="160">
        <f>PLQ!E35</f>
        <v>0</v>
      </c>
      <c r="R35" s="161"/>
      <c r="S35" s="162" t="s">
        <v>133</v>
      </c>
      <c r="T35" s="160">
        <f t="shared" ca="1" si="2"/>
        <v>0</v>
      </c>
      <c r="U35" s="209">
        <f t="shared" ca="1" si="3"/>
        <v>0</v>
      </c>
      <c r="V35" s="22" t="str">
        <f t="shared" ca="1" si="11"/>
        <v>DESCRIÇÃO</v>
      </c>
      <c r="W35" s="4" t="str">
        <f ca="1">IF(AND($K35&lt;&gt;"",$K35&lt;&gt;"Serviço",I35&lt;=2),MAX(W$15:OFFSET(W35,-1,0))+1,"")</f>
        <v/>
      </c>
      <c r="AA35" s="4">
        <f ca="1">IF(ISNUMBER(S35),S35,IF(LEFT(S35,3)="BDI",VLOOKUP(S35,DADOS!$E$128:$F$132,2,FALSE),0))</f>
        <v>0.24229999999999999</v>
      </c>
    </row>
    <row r="36" spans="1:27" x14ac:dyDescent="0.2">
      <c r="A36" s="23">
        <f t="shared" ca="1" si="4"/>
        <v>1</v>
      </c>
      <c r="B36" s="23">
        <f t="shared" ca="1" si="5"/>
        <v>1</v>
      </c>
      <c r="C36" s="23">
        <f t="shared" ca="1" si="6"/>
        <v>19</v>
      </c>
      <c r="D36" s="23">
        <f t="shared" ca="1" si="7"/>
        <v>0</v>
      </c>
      <c r="E36" s="23">
        <f t="shared" ca="1" si="8"/>
        <v>0</v>
      </c>
      <c r="F36" s="6" t="str">
        <f t="shared" si="9"/>
        <v>DESCRIÇÃO</v>
      </c>
      <c r="G36" s="213">
        <f t="shared" ca="1" si="0"/>
        <v>1001019000000</v>
      </c>
      <c r="H36" s="6" t="str">
        <f t="shared" ca="1" si="10"/>
        <v>DESCRIÇÃO</v>
      </c>
      <c r="I36" s="23">
        <f t="shared" ca="1" si="12"/>
        <v>3</v>
      </c>
      <c r="J36" s="214" t="b">
        <f t="shared" si="1"/>
        <v>0</v>
      </c>
      <c r="K36" s="212" t="s">
        <v>285</v>
      </c>
      <c r="L36" s="165" t="str">
        <f t="shared" ca="1" si="13"/>
        <v>1.1.19</v>
      </c>
      <c r="M36" s="158"/>
      <c r="N36" s="158"/>
      <c r="O36" s="158"/>
      <c r="P36" s="159"/>
      <c r="Q36" s="160">
        <f>PLQ!E36</f>
        <v>0</v>
      </c>
      <c r="R36" s="161"/>
      <c r="S36" s="162" t="s">
        <v>133</v>
      </c>
      <c r="T36" s="160">
        <f t="shared" ca="1" si="2"/>
        <v>0</v>
      </c>
      <c r="U36" s="209">
        <f t="shared" ca="1" si="3"/>
        <v>0</v>
      </c>
      <c r="V36" s="22" t="str">
        <f t="shared" ca="1" si="11"/>
        <v>DESCRIÇÃO</v>
      </c>
      <c r="W36" s="4" t="str">
        <f ca="1">IF(AND($K36&lt;&gt;"",$K36&lt;&gt;"Serviço",I36&lt;=2),MAX(W$15:OFFSET(W36,-1,0))+1,"")</f>
        <v/>
      </c>
      <c r="AA36" s="4">
        <f ca="1">IF(ISNUMBER(S36),S36,IF(LEFT(S36,3)="BDI",VLOOKUP(S36,DADOS!$E$128:$F$132,2,FALSE),0))</f>
        <v>0.24229999999999999</v>
      </c>
    </row>
    <row r="37" spans="1:27" x14ac:dyDescent="0.2">
      <c r="A37" s="23">
        <f t="shared" ca="1" si="4"/>
        <v>1</v>
      </c>
      <c r="B37" s="23">
        <f t="shared" ca="1" si="5"/>
        <v>1</v>
      </c>
      <c r="C37" s="23">
        <f t="shared" ca="1" si="6"/>
        <v>20</v>
      </c>
      <c r="D37" s="23">
        <f t="shared" ca="1" si="7"/>
        <v>0</v>
      </c>
      <c r="E37" s="23">
        <f t="shared" ca="1" si="8"/>
        <v>0</v>
      </c>
      <c r="F37" s="6" t="str">
        <f t="shared" si="9"/>
        <v>DESCRIÇÃO</v>
      </c>
      <c r="G37" s="213">
        <f t="shared" ca="1" si="0"/>
        <v>1001020000000</v>
      </c>
      <c r="H37" s="6" t="str">
        <f t="shared" ca="1" si="10"/>
        <v>DESCRIÇÃO</v>
      </c>
      <c r="I37" s="23">
        <f t="shared" ca="1" si="12"/>
        <v>3</v>
      </c>
      <c r="J37" s="214" t="b">
        <f t="shared" si="1"/>
        <v>0</v>
      </c>
      <c r="K37" s="212" t="s">
        <v>285</v>
      </c>
      <c r="L37" s="165" t="str">
        <f t="shared" ca="1" si="13"/>
        <v>1.1.20</v>
      </c>
      <c r="M37" s="158"/>
      <c r="N37" s="158"/>
      <c r="O37" s="158"/>
      <c r="P37" s="159"/>
      <c r="Q37" s="160">
        <f>PLQ!E37</f>
        <v>0</v>
      </c>
      <c r="R37" s="161"/>
      <c r="S37" s="162" t="s">
        <v>133</v>
      </c>
      <c r="T37" s="160">
        <f t="shared" ca="1" si="2"/>
        <v>0</v>
      </c>
      <c r="U37" s="209">
        <f t="shared" ca="1" si="3"/>
        <v>0</v>
      </c>
      <c r="V37" s="22" t="str">
        <f t="shared" ca="1" si="11"/>
        <v>DESCRIÇÃO</v>
      </c>
      <c r="W37" s="4" t="str">
        <f ca="1">IF(AND($K37&lt;&gt;"",$K37&lt;&gt;"Serviço",I37&lt;=2),MAX(W$15:OFFSET(W37,-1,0))+1,"")</f>
        <v/>
      </c>
      <c r="AA37" s="4">
        <f ca="1">IF(ISNUMBER(S37),S37,IF(LEFT(S37,3)="BDI",VLOOKUP(S37,DADOS!$E$128:$F$132,2,FALSE),0))</f>
        <v>0.24229999999999999</v>
      </c>
    </row>
    <row r="38" spans="1:27" x14ac:dyDescent="0.2">
      <c r="A38" s="23">
        <f t="shared" ca="1" si="4"/>
        <v>1</v>
      </c>
      <c r="B38" s="23">
        <f t="shared" ca="1" si="5"/>
        <v>1</v>
      </c>
      <c r="C38" s="23">
        <f t="shared" ca="1" si="6"/>
        <v>21</v>
      </c>
      <c r="D38" s="23">
        <f t="shared" ca="1" si="7"/>
        <v>0</v>
      </c>
      <c r="E38" s="23">
        <f t="shared" ca="1" si="8"/>
        <v>0</v>
      </c>
      <c r="F38" s="6" t="str">
        <f t="shared" si="9"/>
        <v>DESCRIÇÃO</v>
      </c>
      <c r="G38" s="213">
        <f t="shared" ca="1" si="0"/>
        <v>1001021000000</v>
      </c>
      <c r="H38" s="6" t="str">
        <f t="shared" ca="1" si="10"/>
        <v>DESCRIÇÃO</v>
      </c>
      <c r="I38" s="23">
        <f t="shared" ca="1" si="12"/>
        <v>3</v>
      </c>
      <c r="J38" s="214" t="b">
        <f t="shared" si="1"/>
        <v>0</v>
      </c>
      <c r="K38" s="212" t="s">
        <v>285</v>
      </c>
      <c r="L38" s="165" t="str">
        <f t="shared" ca="1" si="13"/>
        <v>1.1.21</v>
      </c>
      <c r="M38" s="158"/>
      <c r="N38" s="158"/>
      <c r="O38" s="158"/>
      <c r="P38" s="159"/>
      <c r="Q38" s="160">
        <f>PLQ!E38</f>
        <v>0</v>
      </c>
      <c r="R38" s="161"/>
      <c r="S38" s="162" t="s">
        <v>133</v>
      </c>
      <c r="T38" s="160">
        <f t="shared" ca="1" si="2"/>
        <v>0</v>
      </c>
      <c r="U38" s="209">
        <f t="shared" ca="1" si="3"/>
        <v>0</v>
      </c>
      <c r="V38" s="22" t="str">
        <f t="shared" ca="1" si="11"/>
        <v>DESCRIÇÃO</v>
      </c>
      <c r="W38" s="4" t="str">
        <f ca="1">IF(AND($K38&lt;&gt;"",$K38&lt;&gt;"Serviço",I38&lt;=2),MAX(W$15:OFFSET(W38,-1,0))+1,"")</f>
        <v/>
      </c>
      <c r="AA38" s="4">
        <f ca="1">IF(ISNUMBER(S38),S38,IF(LEFT(S38,3)="BDI",VLOOKUP(S38,DADOS!$E$128:$F$132,2,FALSE),0))</f>
        <v>0.24229999999999999</v>
      </c>
    </row>
    <row r="39" spans="1:27" x14ac:dyDescent="0.2">
      <c r="A39" s="23">
        <f t="shared" ca="1" si="4"/>
        <v>1</v>
      </c>
      <c r="B39" s="23">
        <f t="shared" ca="1" si="5"/>
        <v>1</v>
      </c>
      <c r="C39" s="23">
        <f t="shared" ca="1" si="6"/>
        <v>22</v>
      </c>
      <c r="D39" s="23">
        <f t="shared" ca="1" si="7"/>
        <v>0</v>
      </c>
      <c r="E39" s="23">
        <f t="shared" ca="1" si="8"/>
        <v>0</v>
      </c>
      <c r="F39" s="6" t="str">
        <f t="shared" si="9"/>
        <v>DESCRIÇÃO</v>
      </c>
      <c r="G39" s="213">
        <f t="shared" ca="1" si="0"/>
        <v>1001022000000</v>
      </c>
      <c r="H39" s="6" t="str">
        <f t="shared" ca="1" si="10"/>
        <v>DESCRIÇÃO</v>
      </c>
      <c r="I39" s="23">
        <f t="shared" ca="1" si="12"/>
        <v>3</v>
      </c>
      <c r="J39" s="214" t="b">
        <f t="shared" si="1"/>
        <v>0</v>
      </c>
      <c r="K39" s="212" t="s">
        <v>285</v>
      </c>
      <c r="L39" s="165" t="str">
        <f t="shared" ca="1" si="13"/>
        <v>1.1.22</v>
      </c>
      <c r="M39" s="158"/>
      <c r="N39" s="158"/>
      <c r="O39" s="158"/>
      <c r="P39" s="159"/>
      <c r="Q39" s="160">
        <f>PLQ!E39</f>
        <v>0</v>
      </c>
      <c r="R39" s="161"/>
      <c r="S39" s="162" t="s">
        <v>133</v>
      </c>
      <c r="T39" s="160">
        <f t="shared" ca="1" si="2"/>
        <v>0</v>
      </c>
      <c r="U39" s="209">
        <f t="shared" ca="1" si="3"/>
        <v>0</v>
      </c>
      <c r="V39" s="22" t="str">
        <f t="shared" ca="1" si="11"/>
        <v>DESCRIÇÃO</v>
      </c>
      <c r="W39" s="4" t="str">
        <f ca="1">IF(AND($K39&lt;&gt;"",$K39&lt;&gt;"Serviço",I39&lt;=2),MAX(W$15:OFFSET(W39,-1,0))+1,"")</f>
        <v/>
      </c>
      <c r="AA39" s="4">
        <f ca="1">IF(ISNUMBER(S39),S39,IF(LEFT(S39,3)="BDI",VLOOKUP(S39,DADOS!$E$128:$F$132,2,FALSE),0))</f>
        <v>0.24229999999999999</v>
      </c>
    </row>
    <row r="40" spans="1:27" x14ac:dyDescent="0.2">
      <c r="A40" s="23">
        <f ca="1">IF(K40="",OFFSET(A40,-1,0),IF(I40=1,OFFSET(A40,-1,0)+1,OFFSET(A40,-1,0)))</f>
        <v>1</v>
      </c>
      <c r="B40" s="23">
        <f ca="1">IF(K40="",OFFSET(B40,-1,0),IF(AND($I40&lt;=1,$I40&lt;&gt;0),0,IF($I40=2,OFFSET(B40,-1,0)+1,OFFSET(B40,-1,0))))</f>
        <v>1</v>
      </c>
      <c r="C40" s="23">
        <f ca="1">IF(K40="",OFFSET(C40,-1,0),IF(AND($I40&lt;=2,$I40&lt;&gt;0),0,IF($I40=3,OFFSET(C40,-1,0)+1,OFFSET(C40,-1,0))))</f>
        <v>23</v>
      </c>
      <c r="D40" s="23">
        <f ca="1">IF(K40="",OFFSET(D40,-1,0),IF(AND($I40&lt;=3,$I40&lt;&gt;0),0,IF($I40=4,OFFSET(D40,-1,0)+1,OFFSET(D40,-1,0))))</f>
        <v>0</v>
      </c>
      <c r="E40" s="23">
        <f ca="1">IF(K40="",OFFSET(E40,-1,0),IF(AND($I40&lt;=4,$I40&lt;&gt;0),0,IF($I40=5,OFFSET(E40,-1,0)+1,OFFSET(E40,-1,0))))</f>
        <v>0</v>
      </c>
      <c r="F40" s="6" t="str">
        <f>IF(OR(ISBLANK(O40),O40="",O40=0,O40="0",ISERROR(O40)),"DESCRIÇÃO",IF(OR(ISBLANK(P40),P40="",P40=0,P40="0",ISERROR(P40)),"UNIDADE",IF(OR(ISBLANK(Q40),Q40="",Q40=0,Q40="0",ISERROR(VALUE(Q40))),"QUANTIDADE",IF(M40="","FONTE",IF(N40="","CÓDIGO",IF(R40="","CUSTO UNITÁRIO",IF(S40="","BDI","OK")))))))</f>
        <v>DESCRIÇÃO</v>
      </c>
      <c r="G40" s="213">
        <f ca="1">IF(OR(K40="",K40="Serviço"),PO.NúmeroNível,9.99E+22)</f>
        <v>1001023000000</v>
      </c>
      <c r="H40" s="6" t="str">
        <f ca="1">IF(OR(AND(ISERROR(G40),I40&lt;&gt;"L"),J40=0),"NÍVEL",IF(F40="DESCRIÇÃO",IF(J40&lt;&gt;"S",F40,IF(OR(J39&lt;&gt;"S",NOT(AND(ISBLANK(M40),ISBLANK(N40),ISBLANK(P40),Q40=0,ISBLANK(R40)))),F40,"OK")),IF(J40="S",F40,"OK")))</f>
        <v>DESCRIÇÃO</v>
      </c>
      <c r="I40" s="23">
        <f ca="1">IF(OR(K40="Serviço",K40=""),IF(OR(OFFSET(K40,-1,0)="Serviço",OFFSET(K40,-1,0)=""),OFFSET(I40,-1,0),OFFSET(I40,-1,0)+1),MIN(MATCH(K40,$A$6:$A$10,0),OFFSET(I40,-1,0)+1))</f>
        <v>3</v>
      </c>
      <c r="J40" s="214" t="b">
        <f>IF(AND(K40&lt;&gt;"",K40&lt;&gt;"Serviço"),PO.NúmeroNível+1000^(5-I40))</f>
        <v>0</v>
      </c>
      <c r="K40" s="212" t="s">
        <v>285</v>
      </c>
      <c r="L40" s="165" t="str">
        <f ca="1">IF(K40="","",CONCATENATE(IF($A40=0,"",$A40),IF($B40=0,"","." &amp;$B40),IF($C40=0,"","." &amp;$C40),IF($D40=0,"","." &amp;$D40),IF($E40=0,"","." &amp;$E40)))</f>
        <v>1.1.23</v>
      </c>
      <c r="M40" s="158"/>
      <c r="N40" s="158"/>
      <c r="O40" s="158"/>
      <c r="P40" s="159"/>
      <c r="Q40" s="160">
        <f>PLQ!E40</f>
        <v>0</v>
      </c>
      <c r="R40" s="161"/>
      <c r="S40" s="162" t="s">
        <v>133</v>
      </c>
      <c r="T40" s="160">
        <f ca="1">IF(OR($K40="",$K40="Serviço"),ROUND(ROUND($R40,2)*IF(TipoOrçamento="LICITADO",1,ROUND(1+IF(ISERROR(MATCH($S40,Dados.Lista.BDI,0)),VALUE($S40),INDEX(OFFSET(Dados.Lista.BDI,0,1),MATCH($S40,Dados.Lista.BDI,0),1)),4)),2),"")</f>
        <v>0</v>
      </c>
      <c r="U40" s="209">
        <f t="shared" ca="1" si="3"/>
        <v>0</v>
      </c>
      <c r="V40" s="22" t="str">
        <f ca="1">IF($H40&lt;&gt;"OK",$H40,"")</f>
        <v>DESCRIÇÃO</v>
      </c>
      <c r="W40" s="4" t="str">
        <f ca="1">IF(AND($K40&lt;&gt;"",$K40&lt;&gt;"Serviço",I40&lt;=2),MAX(W$15:OFFSET(W40,-1,0))+1,"")</f>
        <v/>
      </c>
      <c r="AA40" s="4">
        <f ca="1">IF(ISNUMBER(S40),S40,IF(LEFT(S40,3)="BDI",VLOOKUP(S40,DADOS!$E$128:$F$132,2,FALSE),0))</f>
        <v>0.24229999999999999</v>
      </c>
    </row>
    <row r="41" spans="1:27" x14ac:dyDescent="0.2">
      <c r="A41" s="23">
        <f t="shared" ca="1" si="4"/>
        <v>1</v>
      </c>
      <c r="B41" s="23">
        <f t="shared" ca="1" si="5"/>
        <v>1</v>
      </c>
      <c r="C41" s="23">
        <f t="shared" ca="1" si="6"/>
        <v>24</v>
      </c>
      <c r="D41" s="23">
        <f t="shared" ca="1" si="7"/>
        <v>0</v>
      </c>
      <c r="E41" s="23">
        <f t="shared" ca="1" si="8"/>
        <v>0</v>
      </c>
      <c r="F41" s="6" t="str">
        <f t="shared" si="9"/>
        <v>DESCRIÇÃO</v>
      </c>
      <c r="G41" s="213">
        <f t="shared" ca="1" si="0"/>
        <v>1001024000000</v>
      </c>
      <c r="H41" s="6" t="str">
        <f t="shared" ca="1" si="10"/>
        <v>DESCRIÇÃO</v>
      </c>
      <c r="I41" s="23">
        <f t="shared" ca="1" si="12"/>
        <v>3</v>
      </c>
      <c r="J41" s="214" t="b">
        <f t="shared" si="1"/>
        <v>0</v>
      </c>
      <c r="K41" s="212" t="s">
        <v>285</v>
      </c>
      <c r="L41" s="165" t="str">
        <f t="shared" ca="1" si="13"/>
        <v>1.1.24</v>
      </c>
      <c r="M41" s="158"/>
      <c r="N41" s="158"/>
      <c r="O41" s="158"/>
      <c r="P41" s="159"/>
      <c r="Q41" s="160">
        <f>PLQ!E41</f>
        <v>0</v>
      </c>
      <c r="R41" s="161"/>
      <c r="S41" s="162" t="s">
        <v>133</v>
      </c>
      <c r="T41" s="160">
        <f t="shared" ca="1" si="2"/>
        <v>0</v>
      </c>
      <c r="U41" s="209">
        <f t="shared" ca="1" si="3"/>
        <v>0</v>
      </c>
      <c r="V41" s="22" t="str">
        <f t="shared" ca="1" si="11"/>
        <v>DESCRIÇÃO</v>
      </c>
      <c r="W41" s="4" t="str">
        <f ca="1">IF(AND($K41&lt;&gt;"",$K41&lt;&gt;"Serviço",I41&lt;=2),MAX(W$15:OFFSET(W41,-1,0))+1,"")</f>
        <v/>
      </c>
      <c r="AA41" s="4">
        <f ca="1">IF(ISNUMBER(S41),S41,IF(LEFT(S41,3)="BDI",VLOOKUP(S41,DADOS!$E$128:$F$132,2,FALSE),0))</f>
        <v>0.24229999999999999</v>
      </c>
    </row>
    <row r="42" spans="1:27" x14ac:dyDescent="0.2">
      <c r="A42" s="23">
        <f t="shared" ca="1" si="4"/>
        <v>1</v>
      </c>
      <c r="B42" s="23">
        <f t="shared" ca="1" si="5"/>
        <v>1</v>
      </c>
      <c r="C42" s="23">
        <f t="shared" ca="1" si="6"/>
        <v>25</v>
      </c>
      <c r="D42" s="23">
        <f t="shared" ca="1" si="7"/>
        <v>0</v>
      </c>
      <c r="E42" s="23">
        <f t="shared" ca="1" si="8"/>
        <v>0</v>
      </c>
      <c r="F42" s="6" t="str">
        <f t="shared" si="9"/>
        <v>DESCRIÇÃO</v>
      </c>
      <c r="G42" s="213">
        <f t="shared" ca="1" si="0"/>
        <v>1001025000000</v>
      </c>
      <c r="H42" s="6" t="str">
        <f t="shared" ca="1" si="10"/>
        <v>DESCRIÇÃO</v>
      </c>
      <c r="I42" s="23">
        <f t="shared" ca="1" si="12"/>
        <v>3</v>
      </c>
      <c r="J42" s="214" t="b">
        <f t="shared" si="1"/>
        <v>0</v>
      </c>
      <c r="K42" s="212" t="s">
        <v>285</v>
      </c>
      <c r="L42" s="165" t="str">
        <f t="shared" ca="1" si="13"/>
        <v>1.1.25</v>
      </c>
      <c r="M42" s="158"/>
      <c r="N42" s="158"/>
      <c r="O42" s="158"/>
      <c r="P42" s="159"/>
      <c r="Q42" s="160">
        <f>PLQ!E42</f>
        <v>0</v>
      </c>
      <c r="R42" s="161"/>
      <c r="S42" s="162" t="s">
        <v>133</v>
      </c>
      <c r="T42" s="160">
        <f t="shared" ca="1" si="2"/>
        <v>0</v>
      </c>
      <c r="U42" s="209">
        <f t="shared" ca="1" si="3"/>
        <v>0</v>
      </c>
      <c r="V42" s="22" t="str">
        <f t="shared" ca="1" si="11"/>
        <v>DESCRIÇÃO</v>
      </c>
      <c r="W42" s="4" t="str">
        <f ca="1">IF(AND($K42&lt;&gt;"",$K42&lt;&gt;"Serviço",I42&lt;=2),MAX(W$15:OFFSET(W42,-1,0))+1,"")</f>
        <v/>
      </c>
      <c r="AA42" s="4">
        <f ca="1">IF(ISNUMBER(S42),S42,IF(LEFT(S42,3)="BDI",VLOOKUP(S42,DADOS!$E$128:$F$132,2,FALSE),0))</f>
        <v>0.24229999999999999</v>
      </c>
    </row>
    <row r="43" spans="1:27" x14ac:dyDescent="0.2">
      <c r="A43" s="23">
        <f t="shared" ca="1" si="4"/>
        <v>1</v>
      </c>
      <c r="B43" s="23">
        <f t="shared" ca="1" si="5"/>
        <v>1</v>
      </c>
      <c r="C43" s="23">
        <f t="shared" ca="1" si="6"/>
        <v>26</v>
      </c>
      <c r="D43" s="23">
        <f t="shared" ca="1" si="7"/>
        <v>0</v>
      </c>
      <c r="E43" s="23">
        <f t="shared" ca="1" si="8"/>
        <v>0</v>
      </c>
      <c r="F43" s="6" t="str">
        <f t="shared" si="9"/>
        <v>DESCRIÇÃO</v>
      </c>
      <c r="G43" s="213">
        <f t="shared" ca="1" si="0"/>
        <v>1001026000000</v>
      </c>
      <c r="H43" s="6" t="str">
        <f t="shared" ca="1" si="10"/>
        <v>DESCRIÇÃO</v>
      </c>
      <c r="I43" s="23">
        <f t="shared" ca="1" si="12"/>
        <v>3</v>
      </c>
      <c r="J43" s="214" t="b">
        <f t="shared" si="1"/>
        <v>0</v>
      </c>
      <c r="K43" s="212" t="s">
        <v>285</v>
      </c>
      <c r="L43" s="165" t="str">
        <f t="shared" ca="1" si="13"/>
        <v>1.1.26</v>
      </c>
      <c r="M43" s="158"/>
      <c r="N43" s="158"/>
      <c r="O43" s="158"/>
      <c r="P43" s="159"/>
      <c r="Q43" s="160">
        <f>PLQ!E43</f>
        <v>0</v>
      </c>
      <c r="R43" s="161"/>
      <c r="S43" s="162" t="s">
        <v>133</v>
      </c>
      <c r="T43" s="160">
        <f t="shared" ca="1" si="2"/>
        <v>0</v>
      </c>
      <c r="U43" s="209">
        <f t="shared" ca="1" si="3"/>
        <v>0</v>
      </c>
      <c r="V43" s="22" t="str">
        <f t="shared" ca="1" si="11"/>
        <v>DESCRIÇÃO</v>
      </c>
      <c r="W43" s="4" t="str">
        <f ca="1">IF(AND($K43&lt;&gt;"",$K43&lt;&gt;"Serviço",I43&lt;=2),MAX(W$15:OFFSET(W43,-1,0))+1,"")</f>
        <v/>
      </c>
      <c r="AA43" s="4">
        <f ca="1">IF(ISNUMBER(S43),S43,IF(LEFT(S43,3)="BDI",VLOOKUP(S43,DADOS!$E$128:$F$132,2,FALSE),0))</f>
        <v>0.24229999999999999</v>
      </c>
    </row>
    <row r="44" spans="1:27" x14ac:dyDescent="0.2">
      <c r="A44" s="23">
        <f t="shared" ca="1" si="4"/>
        <v>1</v>
      </c>
      <c r="B44" s="23">
        <f t="shared" ca="1" si="5"/>
        <v>1</v>
      </c>
      <c r="C44" s="23">
        <f t="shared" ca="1" si="6"/>
        <v>27</v>
      </c>
      <c r="D44" s="23">
        <f t="shared" ca="1" si="7"/>
        <v>0</v>
      </c>
      <c r="E44" s="23">
        <f t="shared" ca="1" si="8"/>
        <v>0</v>
      </c>
      <c r="F44" s="6" t="str">
        <f t="shared" si="9"/>
        <v>DESCRIÇÃO</v>
      </c>
      <c r="G44" s="213">
        <f t="shared" ca="1" si="0"/>
        <v>1001027000000</v>
      </c>
      <c r="H44" s="6" t="str">
        <f t="shared" ca="1" si="10"/>
        <v>DESCRIÇÃO</v>
      </c>
      <c r="I44" s="23">
        <f t="shared" ca="1" si="12"/>
        <v>3</v>
      </c>
      <c r="J44" s="214" t="b">
        <f t="shared" si="1"/>
        <v>0</v>
      </c>
      <c r="K44" s="212" t="s">
        <v>285</v>
      </c>
      <c r="L44" s="165" t="str">
        <f t="shared" ca="1" si="13"/>
        <v>1.1.27</v>
      </c>
      <c r="M44" s="158"/>
      <c r="N44" s="158"/>
      <c r="O44" s="158"/>
      <c r="P44" s="159"/>
      <c r="Q44" s="160">
        <f>PLQ!E44</f>
        <v>0</v>
      </c>
      <c r="R44" s="161"/>
      <c r="S44" s="162" t="s">
        <v>133</v>
      </c>
      <c r="T44" s="160">
        <f t="shared" ca="1" si="2"/>
        <v>0</v>
      </c>
      <c r="U44" s="209">
        <f t="shared" ca="1" si="3"/>
        <v>0</v>
      </c>
      <c r="V44" s="22" t="str">
        <f t="shared" ca="1" si="11"/>
        <v>DESCRIÇÃO</v>
      </c>
      <c r="W44" s="4" t="str">
        <f ca="1">IF(AND($K44&lt;&gt;"",$K44&lt;&gt;"Serviço",I44&lt;=2),MAX(W$15:OFFSET(W44,-1,0))+1,"")</f>
        <v/>
      </c>
      <c r="AA44" s="4">
        <f ca="1">IF(ISNUMBER(S44),S44,IF(LEFT(S44,3)="BDI",VLOOKUP(S44,DADOS!$E$128:$F$132,2,FALSE),0))</f>
        <v>0.24229999999999999</v>
      </c>
    </row>
    <row r="45" spans="1:27" x14ac:dyDescent="0.2">
      <c r="A45" s="23">
        <f t="shared" ca="1" si="4"/>
        <v>1</v>
      </c>
      <c r="B45" s="23">
        <f t="shared" ca="1" si="5"/>
        <v>1</v>
      </c>
      <c r="C45" s="23">
        <f t="shared" ca="1" si="6"/>
        <v>28</v>
      </c>
      <c r="D45" s="23">
        <f t="shared" ca="1" si="7"/>
        <v>0</v>
      </c>
      <c r="E45" s="23">
        <f t="shared" ca="1" si="8"/>
        <v>0</v>
      </c>
      <c r="F45" s="6" t="str">
        <f t="shared" si="9"/>
        <v>DESCRIÇÃO</v>
      </c>
      <c r="G45" s="213">
        <f t="shared" ca="1" si="0"/>
        <v>1001028000000</v>
      </c>
      <c r="H45" s="6" t="str">
        <f t="shared" ca="1" si="10"/>
        <v>DESCRIÇÃO</v>
      </c>
      <c r="I45" s="23">
        <f t="shared" ca="1" si="12"/>
        <v>3</v>
      </c>
      <c r="J45" s="214" t="b">
        <f t="shared" si="1"/>
        <v>0</v>
      </c>
      <c r="K45" s="212" t="s">
        <v>285</v>
      </c>
      <c r="L45" s="165" t="str">
        <f t="shared" ca="1" si="13"/>
        <v>1.1.28</v>
      </c>
      <c r="M45" s="158"/>
      <c r="N45" s="158"/>
      <c r="O45" s="158"/>
      <c r="P45" s="159"/>
      <c r="Q45" s="160">
        <f>PLQ!E45</f>
        <v>0</v>
      </c>
      <c r="R45" s="161"/>
      <c r="S45" s="162" t="s">
        <v>133</v>
      </c>
      <c r="T45" s="160">
        <f t="shared" ca="1" si="2"/>
        <v>0</v>
      </c>
      <c r="U45" s="209">
        <f t="shared" ca="1" si="3"/>
        <v>0</v>
      </c>
      <c r="V45" s="22" t="str">
        <f t="shared" ca="1" si="11"/>
        <v>DESCRIÇÃO</v>
      </c>
      <c r="W45" s="4" t="str">
        <f ca="1">IF(AND($K45&lt;&gt;"",$K45&lt;&gt;"Serviço",I45&lt;=2),MAX(W$15:OFFSET(W45,-1,0))+1,"")</f>
        <v/>
      </c>
      <c r="AA45" s="4">
        <f ca="1">IF(ISNUMBER(S45),S45,IF(LEFT(S45,3)="BDI",VLOOKUP(S45,DADOS!$E$128:$F$132,2,FALSE),0))</f>
        <v>0.24229999999999999</v>
      </c>
    </row>
    <row r="46" spans="1:27" x14ac:dyDescent="0.2">
      <c r="A46" s="23">
        <f t="shared" ca="1" si="4"/>
        <v>1</v>
      </c>
      <c r="B46" s="23">
        <f t="shared" ca="1" si="5"/>
        <v>1</v>
      </c>
      <c r="C46" s="23">
        <f t="shared" ca="1" si="6"/>
        <v>29</v>
      </c>
      <c r="D46" s="23">
        <f t="shared" ca="1" si="7"/>
        <v>0</v>
      </c>
      <c r="E46" s="23">
        <f t="shared" ca="1" si="8"/>
        <v>0</v>
      </c>
      <c r="F46" s="6" t="str">
        <f t="shared" si="9"/>
        <v>DESCRIÇÃO</v>
      </c>
      <c r="G46" s="213">
        <f t="shared" ca="1" si="0"/>
        <v>1001029000000</v>
      </c>
      <c r="H46" s="6" t="str">
        <f t="shared" ca="1" si="10"/>
        <v>DESCRIÇÃO</v>
      </c>
      <c r="I46" s="23">
        <f t="shared" ca="1" si="12"/>
        <v>3</v>
      </c>
      <c r="J46" s="214" t="b">
        <f t="shared" si="1"/>
        <v>0</v>
      </c>
      <c r="K46" s="212" t="s">
        <v>285</v>
      </c>
      <c r="L46" s="165" t="str">
        <f t="shared" ca="1" si="13"/>
        <v>1.1.29</v>
      </c>
      <c r="M46" s="158"/>
      <c r="N46" s="158"/>
      <c r="O46" s="158"/>
      <c r="P46" s="159"/>
      <c r="Q46" s="160">
        <f>PLQ!E46</f>
        <v>0</v>
      </c>
      <c r="R46" s="161"/>
      <c r="S46" s="162" t="s">
        <v>133</v>
      </c>
      <c r="T46" s="160">
        <f t="shared" ca="1" si="2"/>
        <v>0</v>
      </c>
      <c r="U46" s="209">
        <f t="shared" ca="1" si="3"/>
        <v>0</v>
      </c>
      <c r="V46" s="22" t="str">
        <f t="shared" ca="1" si="11"/>
        <v>DESCRIÇÃO</v>
      </c>
      <c r="W46" s="4" t="str">
        <f ca="1">IF(AND($K46&lt;&gt;"",$K46&lt;&gt;"Serviço",I46&lt;=2),MAX(W$15:OFFSET(W46,-1,0))+1,"")</f>
        <v/>
      </c>
      <c r="AA46" s="4">
        <f ca="1">IF(ISNUMBER(S46),S46,IF(LEFT(S46,3)="BDI",VLOOKUP(S46,DADOS!$E$128:$F$132,2,FALSE),0))</f>
        <v>0.24229999999999999</v>
      </c>
    </row>
    <row r="47" spans="1:27" x14ac:dyDescent="0.2">
      <c r="A47" s="23">
        <f t="shared" ca="1" si="4"/>
        <v>1</v>
      </c>
      <c r="B47" s="23">
        <f t="shared" ca="1" si="5"/>
        <v>1</v>
      </c>
      <c r="C47" s="23">
        <f t="shared" ca="1" si="6"/>
        <v>30</v>
      </c>
      <c r="D47" s="23">
        <f t="shared" ca="1" si="7"/>
        <v>0</v>
      </c>
      <c r="E47" s="23">
        <f t="shared" ca="1" si="8"/>
        <v>0</v>
      </c>
      <c r="F47" s="6" t="str">
        <f t="shared" si="9"/>
        <v>DESCRIÇÃO</v>
      </c>
      <c r="G47" s="213">
        <f t="shared" ca="1" si="0"/>
        <v>1001030000000</v>
      </c>
      <c r="H47" s="6" t="str">
        <f t="shared" ca="1" si="10"/>
        <v>DESCRIÇÃO</v>
      </c>
      <c r="I47" s="23">
        <f t="shared" ca="1" si="12"/>
        <v>3</v>
      </c>
      <c r="J47" s="214" t="b">
        <f t="shared" si="1"/>
        <v>0</v>
      </c>
      <c r="K47" s="212" t="s">
        <v>285</v>
      </c>
      <c r="L47" s="165" t="str">
        <f t="shared" ca="1" si="13"/>
        <v>1.1.30</v>
      </c>
      <c r="M47" s="158"/>
      <c r="N47" s="158"/>
      <c r="O47" s="158"/>
      <c r="P47" s="159"/>
      <c r="Q47" s="160">
        <f>PLQ!E47</f>
        <v>0</v>
      </c>
      <c r="R47" s="161"/>
      <c r="S47" s="162" t="s">
        <v>133</v>
      </c>
      <c r="T47" s="160">
        <f t="shared" ca="1" si="2"/>
        <v>0</v>
      </c>
      <c r="U47" s="209">
        <f t="shared" ca="1" si="3"/>
        <v>0</v>
      </c>
      <c r="V47" s="22" t="str">
        <f t="shared" ca="1" si="11"/>
        <v>DESCRIÇÃO</v>
      </c>
      <c r="W47" s="4" t="str">
        <f ca="1">IF(AND($K47&lt;&gt;"",$K47&lt;&gt;"Serviço",I47&lt;=2),MAX(W$15:OFFSET(W47,-1,0))+1,"")</f>
        <v/>
      </c>
      <c r="AA47" s="4">
        <f ca="1">IF(ISNUMBER(S47),S47,IF(LEFT(S47,3)="BDI",VLOOKUP(S47,DADOS!$E$128:$F$132,2,FALSE),0))</f>
        <v>0.24229999999999999</v>
      </c>
    </row>
    <row r="48" spans="1:27" x14ac:dyDescent="0.2">
      <c r="L48" s="185"/>
      <c r="M48" s="185"/>
      <c r="N48" s="185"/>
      <c r="O48" s="185"/>
      <c r="P48" s="185"/>
      <c r="Q48" s="185"/>
      <c r="R48" s="185"/>
      <c r="S48" s="185"/>
      <c r="T48" s="185"/>
      <c r="U48" s="185"/>
    </row>
    <row r="49" spans="12:21" ht="14.25" x14ac:dyDescent="0.2">
      <c r="L49" s="186" t="s">
        <v>216</v>
      </c>
      <c r="N49" s="355" t="s">
        <v>3</v>
      </c>
      <c r="O49" s="356"/>
      <c r="P49" s="356"/>
      <c r="Q49" s="356"/>
      <c r="R49" s="356"/>
      <c r="S49" s="356"/>
      <c r="T49" s="356"/>
      <c r="U49" s="357"/>
    </row>
    <row r="50" spans="12:21" x14ac:dyDescent="0.2"/>
    <row r="51" spans="12:21" ht="14.25" x14ac:dyDescent="0.2">
      <c r="L51" s="193" t="s">
        <v>161</v>
      </c>
      <c r="M51" s="36"/>
      <c r="N51" s="36"/>
      <c r="O51" s="36"/>
      <c r="P51" s="36"/>
      <c r="Q51" s="36"/>
      <c r="R51" s="36"/>
      <c r="S51" s="36"/>
      <c r="T51" s="36"/>
      <c r="U51" s="192"/>
    </row>
    <row r="52" spans="12:21" ht="12.75" customHeight="1" x14ac:dyDescent="0.2">
      <c r="L52" s="349"/>
      <c r="M52" s="350"/>
      <c r="N52" s="350"/>
      <c r="O52" s="350"/>
      <c r="P52" s="350"/>
      <c r="Q52" s="350"/>
      <c r="R52" s="350"/>
      <c r="S52" s="350"/>
      <c r="T52" s="350"/>
      <c r="U52" s="351"/>
    </row>
    <row r="53" spans="12:21" x14ac:dyDescent="0.2">
      <c r="L53" s="349"/>
      <c r="M53" s="350"/>
      <c r="N53" s="350"/>
      <c r="O53" s="350"/>
      <c r="P53" s="350"/>
      <c r="Q53" s="350"/>
      <c r="R53" s="350"/>
      <c r="S53" s="350"/>
      <c r="T53" s="350"/>
      <c r="U53" s="351"/>
    </row>
    <row r="54" spans="12:21" x14ac:dyDescent="0.2">
      <c r="L54" s="352"/>
      <c r="M54" s="353"/>
      <c r="N54" s="353"/>
      <c r="O54" s="353"/>
      <c r="P54" s="353"/>
      <c r="Q54" s="353"/>
      <c r="R54" s="353"/>
      <c r="S54" s="353"/>
      <c r="T54" s="353"/>
      <c r="U54" s="354"/>
    </row>
    <row r="55" spans="12:21" x14ac:dyDescent="0.2"/>
    <row r="56" spans="12:21" ht="21" customHeight="1" x14ac:dyDescent="0.2"/>
    <row r="57" spans="12:21" x14ac:dyDescent="0.2"/>
    <row r="58" spans="12:21" x14ac:dyDescent="0.2"/>
    <row r="59" spans="12:21" x14ac:dyDescent="0.2"/>
    <row r="60" spans="12:21" x14ac:dyDescent="0.2"/>
    <row r="61" spans="12:21" x14ac:dyDescent="0.2"/>
    <row r="62" spans="12:21" x14ac:dyDescent="0.2"/>
    <row r="63" spans="12:21" x14ac:dyDescent="0.2"/>
    <row r="64" spans="12:21"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sheetData>
  <sheetProtection password="E005" sheet="1" objects="1" scenarios="1" autoFilter="0"/>
  <mergeCells count="2">
    <mergeCell ref="L52:U54"/>
    <mergeCell ref="N49:U49"/>
  </mergeCells>
  <phoneticPr fontId="25" type="noConversion"/>
  <conditionalFormatting sqref="P15:S15 M15:N15">
    <cfRule type="expression" dxfId="76" priority="1171" stopIfTrue="1">
      <formula>$K15=$A$6</formula>
    </cfRule>
    <cfRule type="expression" dxfId="75" priority="1172" stopIfTrue="1">
      <formula>UPPER(LEFT($K15,5))="NÍVEL"</formula>
    </cfRule>
    <cfRule type="expression" dxfId="74" priority="1173" stopIfTrue="1">
      <formula>$K15=$A$12</formula>
    </cfRule>
  </conditionalFormatting>
  <conditionalFormatting sqref="T15:U15 L15">
    <cfRule type="expression" dxfId="73" priority="1174" stopIfTrue="1">
      <formula>$K15=$A$6</formula>
    </cfRule>
    <cfRule type="expression" dxfId="72" priority="1175" stopIfTrue="1">
      <formula>UPPER(LEFT($K15,5))="NÍVEL"</formula>
    </cfRule>
  </conditionalFormatting>
  <conditionalFormatting sqref="L2 L16:L17 L19:L47">
    <cfRule type="expression" dxfId="71" priority="1187" stopIfTrue="1">
      <formula>$K2=$A$6</formula>
    </cfRule>
    <cfRule type="expression" dxfId="70" priority="1188" stopIfTrue="1">
      <formula>AND($K2&lt;&gt;"",$K2&lt;&gt;"Serviço")</formula>
    </cfRule>
    <cfRule type="expression" dxfId="69" priority="1189" stopIfTrue="1">
      <formula>ISBLANK(K2)</formula>
    </cfRule>
  </conditionalFormatting>
  <conditionalFormatting sqref="T2:U2 T16:U17 T19:U47">
    <cfRule type="expression" dxfId="68" priority="1190" stopIfTrue="1">
      <formula>$K2=$A$6</formula>
    </cfRule>
    <cfRule type="expression" dxfId="67" priority="1191" stopIfTrue="1">
      <formula>AND($K2&lt;&gt;"",$K2&lt;&gt;"Serviço")</formula>
    </cfRule>
  </conditionalFormatting>
  <conditionalFormatting sqref="M2:N2 P2 R2 M16:N17 P16:P17 R16:R17 R19:R47 P19:P47 M19:N47">
    <cfRule type="expression" dxfId="66" priority="1199" stopIfTrue="1">
      <formula>$K2=$A$6</formula>
    </cfRule>
    <cfRule type="expression" dxfId="65" priority="1200" stopIfTrue="1">
      <formula>AND($K2&lt;&gt;"",$K2&lt;&gt;"Serviço")</formula>
    </cfRule>
    <cfRule type="expression" dxfId="64" priority="1201" stopIfTrue="1">
      <formula>M2=""</formula>
    </cfRule>
  </conditionalFormatting>
  <conditionalFormatting sqref="Q2 Q16:Q17 Q19:Q47">
    <cfRule type="expression" dxfId="63" priority="1255" stopIfTrue="1">
      <formula>$K2=$A$6</formula>
    </cfRule>
    <cfRule type="expression" dxfId="62" priority="1256" stopIfTrue="1">
      <formula>AND($K2&lt;&gt;"",$K2&lt;&gt;"Serviço")</formula>
    </cfRule>
  </conditionalFormatting>
  <conditionalFormatting sqref="S2 S16:S17 S19:S47">
    <cfRule type="expression" dxfId="61" priority="1287" stopIfTrue="1">
      <formula>$K2=$A$6</formula>
    </cfRule>
    <cfRule type="expression" dxfId="60" priority="1288" stopIfTrue="1">
      <formula>AND($K2&lt;&gt;"",$K2&lt;&gt;"Serviço")</formula>
    </cfRule>
    <cfRule type="expression" dxfId="59" priority="1289" stopIfTrue="1">
      <formula>OR(S2="",$H2="BDI",ISERROR(MATCH(S2,Dados.Lista.BDI,0)))</formula>
    </cfRule>
  </conditionalFormatting>
  <conditionalFormatting sqref="O2 O16:O17 O19:O47">
    <cfRule type="expression" dxfId="58" priority="1290" stopIfTrue="1">
      <formula>AND($K2=$A$6,NOT(ISBLANK(O2)))</formula>
    </cfRule>
    <cfRule type="expression" dxfId="57" priority="1291" stopIfTrue="1">
      <formula>AND($K2&lt;&gt;"",$K2&lt;&gt;"Serviço",NOT(ISBLANK(O2)))</formula>
    </cfRule>
    <cfRule type="expression" dxfId="56" priority="1292" stopIfTrue="1">
      <formula>OR(O2="",$V2="DESCRIÇÃO")</formula>
    </cfRule>
  </conditionalFormatting>
  <conditionalFormatting sqref="N49:U49">
    <cfRule type="expression" dxfId="55" priority="529" stopIfTrue="1">
      <formula>$N$49=""</formula>
    </cfRule>
  </conditionalFormatting>
  <conditionalFormatting sqref="L18">
    <cfRule type="expression" dxfId="54" priority="1" stopIfTrue="1">
      <formula>$K18=$A$6</formula>
    </cfRule>
    <cfRule type="expression" dxfId="53" priority="2" stopIfTrue="1">
      <formula>AND($K18&lt;&gt;"",$K18&lt;&gt;"Serviço")</formula>
    </cfRule>
    <cfRule type="expression" dxfId="52" priority="3" stopIfTrue="1">
      <formula>ISBLANK(K18)</formula>
    </cfRule>
  </conditionalFormatting>
  <conditionalFormatting sqref="T18:U18">
    <cfRule type="expression" dxfId="51" priority="4" stopIfTrue="1">
      <formula>$K18=$A$6</formula>
    </cfRule>
    <cfRule type="expression" dxfId="50" priority="5" stopIfTrue="1">
      <formula>AND($K18&lt;&gt;"",$K18&lt;&gt;"Serviço")</formula>
    </cfRule>
  </conditionalFormatting>
  <conditionalFormatting sqref="M18:N18 P18 R18">
    <cfRule type="expression" dxfId="49" priority="6" stopIfTrue="1">
      <formula>$K18=$A$6</formula>
    </cfRule>
    <cfRule type="expression" dxfId="48" priority="7" stopIfTrue="1">
      <formula>AND($K18&lt;&gt;"",$K18&lt;&gt;"Serviço")</formula>
    </cfRule>
    <cfRule type="expression" dxfId="47" priority="8" stopIfTrue="1">
      <formula>M18=""</formula>
    </cfRule>
  </conditionalFormatting>
  <conditionalFormatting sqref="Q18">
    <cfRule type="expression" dxfId="46" priority="9" stopIfTrue="1">
      <formula>$K18=$A$6</formula>
    </cfRule>
    <cfRule type="expression" dxfId="45" priority="10" stopIfTrue="1">
      <formula>AND($K18&lt;&gt;"",$K18&lt;&gt;"Serviço")</formula>
    </cfRule>
  </conditionalFormatting>
  <conditionalFormatting sqref="S18">
    <cfRule type="expression" dxfId="44" priority="11" stopIfTrue="1">
      <formula>$K18=$A$6</formula>
    </cfRule>
    <cfRule type="expression" dxfId="43" priority="12" stopIfTrue="1">
      <formula>AND($K18&lt;&gt;"",$K18&lt;&gt;"Serviço")</formula>
    </cfRule>
    <cfRule type="expression" dxfId="42" priority="13" stopIfTrue="1">
      <formula>OR(S18="",$H18="BDI",ISERROR(MATCH(S18,Dados.Lista.BDI,0)))</formula>
    </cfRule>
  </conditionalFormatting>
  <conditionalFormatting sqref="O18">
    <cfRule type="expression" dxfId="41" priority="14" stopIfTrue="1">
      <formula>AND($K18=$A$6,NOT(ISBLANK(O18)))</formula>
    </cfRule>
    <cfRule type="expression" dxfId="40" priority="15" stopIfTrue="1">
      <formula>AND($K18&lt;&gt;"",$K18&lt;&gt;"Serviço",NOT(ISBLANK(O18)))</formula>
    </cfRule>
    <cfRule type="expression" dxfId="39" priority="16" stopIfTrue="1">
      <formula>OR(O18="",$V18="DESCRIÇÃO")</formula>
    </cfRule>
  </conditionalFormatting>
  <dataValidations count="4">
    <dataValidation type="decimal" operator="greaterThan" allowBlank="1" showInputMessage="1" showErrorMessage="1" error="Apenas números decimais maiores que zero." sqref="R2 R16:R47">
      <formula1>0</formula1>
    </dataValidation>
    <dataValidation type="list" allowBlank="1" showInputMessage="1" showErrorMessage="1" sqref="M2 M16:M47">
      <formula1>PO.Lista.Fonte</formula1>
    </dataValidation>
    <dataValidation type="list" errorStyle="warning" allowBlank="1" showInputMessage="1" showErrorMessage="1" error="Selecione um dos 5 BDI da lista._x000a__x000a_Caso tenha mais de 5 BDI nesta Planilha Orçamentária digite apenas valor percentual." sqref="S2 S16:S47">
      <formula1>Dados.Lista.BDI</formula1>
    </dataValidation>
    <dataValidation type="list" showInputMessage="1" showErrorMessage="1" sqref="K2 K16:K47">
      <formula1>$A$6:$A$10</formula1>
    </dataValidation>
  </dataValidations>
  <pageMargins left="0.78740157480314965" right="0.78740157480314965" top="0.78740157480314965" bottom="0.78740157480314965" header="0" footer="0"/>
  <pageSetup paperSize="9" scale="55" firstPageNumber="2" orientation="landscape" useFirstPageNumber="1" horizontalDpi="4294967294" verticalDpi="4294967294" r:id="rId1"/>
  <headerFooter>
    <oddFooter>&amp;L27.476 v001  micro&amp;R&amp;P</oddFooter>
  </headerFooter>
  <drawing r:id="rId2"/>
  <legacyDrawing r:id="rId3"/>
  <oleObjects>
    <mc:AlternateContent xmlns:mc="http://schemas.openxmlformats.org/markup-compatibility/2006">
      <mc:Choice Requires="x14">
        <oleObject shapeId="31091" r:id="rId4">
          <objectPr defaultSize="0" autoPict="0" r:id="rId5">
            <anchor moveWithCells="1">
              <from>
                <xdr:col>11</xdr:col>
                <xdr:colOff>57150</xdr:colOff>
                <xdr:row>4</xdr:row>
                <xdr:rowOff>19050</xdr:rowOff>
              </from>
              <to>
                <xdr:col>12</xdr:col>
                <xdr:colOff>1000125</xdr:colOff>
                <xdr:row>6</xdr:row>
                <xdr:rowOff>76200</xdr:rowOff>
              </to>
            </anchor>
          </objectPr>
        </oleObject>
      </mc:Choice>
      <mc:Fallback>
        <oleObject shapeId="31091"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2"/>
  <dimension ref="A1:BD191"/>
  <sheetViews>
    <sheetView showGridLines="0" topLeftCell="B5" zoomScale="80" zoomScaleNormal="80" zoomScaleSheetLayoutView="70" workbookViewId="0">
      <pane xSplit="4" ySplit="11" topLeftCell="F52" activePane="bottomRight" state="frozen"/>
      <selection activeCell="B5" sqref="B5"/>
      <selection pane="topRight" activeCell="F5" sqref="F5"/>
      <selection pane="bottomLeft" activeCell="B16" sqref="B16"/>
      <selection pane="bottomRight" activeCell="G14" sqref="G14"/>
    </sheetView>
  </sheetViews>
  <sheetFormatPr defaultRowHeight="12.75" x14ac:dyDescent="0.2"/>
  <cols>
    <col min="1" max="1" width="12.7109375" style="4" hidden="1" customWidth="1"/>
    <col min="2" max="2" width="10.7109375" style="4" customWidth="1"/>
    <col min="3" max="3" width="60.5703125" style="4" customWidth="1"/>
    <col min="4" max="4" width="7.7109375" style="4" customWidth="1"/>
    <col min="5" max="5" width="12.7109375" style="4" customWidth="1"/>
    <col min="6" max="55" width="11.7109375" style="4" customWidth="1"/>
    <col min="56" max="16384" width="9.140625" style="4"/>
  </cols>
  <sheetData>
    <row r="1" spans="1:56" hidden="1" x14ac:dyDescent="0.2"/>
    <row r="2" spans="1:56" hidden="1" x14ac:dyDescent="0.2">
      <c r="A2" s="56" t="str">
        <f>PO!K2</f>
        <v>Serviço</v>
      </c>
      <c r="B2" s="25" t="str">
        <f ca="1">PO!L2</f>
        <v>1</v>
      </c>
      <c r="C2" s="25" t="str">
        <f>IF(PO!$O2=0,"",PO!$O2)</f>
        <v/>
      </c>
      <c r="D2" s="26" t="str">
        <f>IF($C2="","",PO!P2)</f>
        <v/>
      </c>
      <c r="E2" s="27">
        <f>IF(OR($C2="",RIGHT($A2,7)&lt;&gt;"Serviço"),0,SUMPRODUCT(($F$14:$BC$14&lt;&gt;"")*ROUND($F2:$BC2,2)))</f>
        <v>0</v>
      </c>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row>
    <row r="3" spans="1:56" ht="13.5" hidden="1" thickBot="1" x14ac:dyDescent="0.25"/>
    <row r="4" spans="1:56" ht="64.5" hidden="1" customHeight="1" thickBot="1" x14ac:dyDescent="0.3">
      <c r="A4" s="45"/>
      <c r="B4" s="9"/>
      <c r="C4" s="9"/>
      <c r="D4" s="9"/>
      <c r="E4" s="9"/>
      <c r="F4" s="60">
        <v>1</v>
      </c>
      <c r="G4" s="60">
        <f>F4+1</f>
        <v>2</v>
      </c>
      <c r="H4" s="60">
        <f t="shared" ref="H4:BC4" si="0">G4+1</f>
        <v>3</v>
      </c>
      <c r="I4" s="60">
        <f t="shared" si="0"/>
        <v>4</v>
      </c>
      <c r="J4" s="60">
        <f t="shared" si="0"/>
        <v>5</v>
      </c>
      <c r="K4" s="60">
        <f t="shared" si="0"/>
        <v>6</v>
      </c>
      <c r="L4" s="60">
        <f t="shared" si="0"/>
        <v>7</v>
      </c>
      <c r="M4" s="60">
        <f t="shared" si="0"/>
        <v>8</v>
      </c>
      <c r="N4" s="60">
        <f t="shared" si="0"/>
        <v>9</v>
      </c>
      <c r="O4" s="60">
        <f t="shared" si="0"/>
        <v>10</v>
      </c>
      <c r="P4" s="60">
        <f t="shared" si="0"/>
        <v>11</v>
      </c>
      <c r="Q4" s="60">
        <f t="shared" si="0"/>
        <v>12</v>
      </c>
      <c r="R4" s="60">
        <f t="shared" si="0"/>
        <v>13</v>
      </c>
      <c r="S4" s="60">
        <f t="shared" si="0"/>
        <v>14</v>
      </c>
      <c r="T4" s="60">
        <f t="shared" si="0"/>
        <v>15</v>
      </c>
      <c r="U4" s="60">
        <f t="shared" si="0"/>
        <v>16</v>
      </c>
      <c r="V4" s="60">
        <f t="shared" si="0"/>
        <v>17</v>
      </c>
      <c r="W4" s="60">
        <f t="shared" si="0"/>
        <v>18</v>
      </c>
      <c r="X4" s="60">
        <f t="shared" si="0"/>
        <v>19</v>
      </c>
      <c r="Y4" s="60">
        <f>X4+1</f>
        <v>20</v>
      </c>
      <c r="Z4" s="60">
        <f>Y4+1</f>
        <v>21</v>
      </c>
      <c r="AA4" s="60">
        <f t="shared" si="0"/>
        <v>22</v>
      </c>
      <c r="AB4" s="60">
        <f t="shared" si="0"/>
        <v>23</v>
      </c>
      <c r="AC4" s="60">
        <f t="shared" si="0"/>
        <v>24</v>
      </c>
      <c r="AD4" s="60">
        <f t="shared" si="0"/>
        <v>25</v>
      </c>
      <c r="AE4" s="60">
        <f t="shared" si="0"/>
        <v>26</v>
      </c>
      <c r="AF4" s="60">
        <f t="shared" si="0"/>
        <v>27</v>
      </c>
      <c r="AG4" s="60">
        <f t="shared" si="0"/>
        <v>28</v>
      </c>
      <c r="AH4" s="60">
        <f t="shared" si="0"/>
        <v>29</v>
      </c>
      <c r="AI4" s="60">
        <f>AH4+1</f>
        <v>30</v>
      </c>
      <c r="AJ4" s="60">
        <f>AI4+1</f>
        <v>31</v>
      </c>
      <c r="AK4" s="60">
        <f t="shared" si="0"/>
        <v>32</v>
      </c>
      <c r="AL4" s="60">
        <f t="shared" si="0"/>
        <v>33</v>
      </c>
      <c r="AM4" s="60">
        <f t="shared" si="0"/>
        <v>34</v>
      </c>
      <c r="AN4" s="60">
        <f t="shared" si="0"/>
        <v>35</v>
      </c>
      <c r="AO4" s="60">
        <f t="shared" si="0"/>
        <v>36</v>
      </c>
      <c r="AP4" s="60">
        <f t="shared" si="0"/>
        <v>37</v>
      </c>
      <c r="AQ4" s="60">
        <f t="shared" si="0"/>
        <v>38</v>
      </c>
      <c r="AR4" s="60">
        <f t="shared" si="0"/>
        <v>39</v>
      </c>
      <c r="AS4" s="60">
        <f>AR4+1</f>
        <v>40</v>
      </c>
      <c r="AT4" s="60">
        <f>AS4+1</f>
        <v>41</v>
      </c>
      <c r="AU4" s="60">
        <f t="shared" si="0"/>
        <v>42</v>
      </c>
      <c r="AV4" s="60">
        <f t="shared" si="0"/>
        <v>43</v>
      </c>
      <c r="AW4" s="60">
        <f t="shared" si="0"/>
        <v>44</v>
      </c>
      <c r="AX4" s="60">
        <f t="shared" si="0"/>
        <v>45</v>
      </c>
      <c r="AY4" s="60">
        <f t="shared" si="0"/>
        <v>46</v>
      </c>
      <c r="AZ4" s="60">
        <f t="shared" si="0"/>
        <v>47</v>
      </c>
      <c r="BA4" s="60">
        <f t="shared" si="0"/>
        <v>48</v>
      </c>
      <c r="BB4" s="60">
        <f t="shared" si="0"/>
        <v>49</v>
      </c>
      <c r="BC4" s="61">
        <f t="shared" si="0"/>
        <v>50</v>
      </c>
    </row>
    <row r="5" spans="1:56" ht="17.25" customHeight="1" x14ac:dyDescent="0.2">
      <c r="K5" s="34"/>
      <c r="O5" s="63" t="s">
        <v>35</v>
      </c>
      <c r="Y5" s="63" t="s">
        <v>35</v>
      </c>
      <c r="AI5" s="63" t="s">
        <v>35</v>
      </c>
      <c r="AS5" s="63" t="s">
        <v>35</v>
      </c>
      <c r="BC5" s="62" t="s">
        <v>35</v>
      </c>
    </row>
    <row r="6" spans="1:56" ht="15.75" x14ac:dyDescent="0.25">
      <c r="D6" s="8"/>
      <c r="E6" s="187" t="s">
        <v>217</v>
      </c>
      <c r="F6" s="57" t="s">
        <v>218</v>
      </c>
      <c r="K6" s="35"/>
      <c r="O6" s="10" t="s">
        <v>36</v>
      </c>
      <c r="P6" s="57" t="s">
        <v>218</v>
      </c>
      <c r="Y6" s="10" t="s">
        <v>36</v>
      </c>
      <c r="Z6" s="57" t="s">
        <v>218</v>
      </c>
      <c r="AI6" s="10" t="s">
        <v>36</v>
      </c>
      <c r="AJ6" s="57" t="s">
        <v>218</v>
      </c>
      <c r="AS6" s="10" t="s">
        <v>36</v>
      </c>
      <c r="AT6" s="57" t="s">
        <v>218</v>
      </c>
      <c r="BC6" s="10" t="s">
        <v>36</v>
      </c>
    </row>
    <row r="7" spans="1:56" x14ac:dyDescent="0.2">
      <c r="K7" s="36"/>
      <c r="Z7" s="36"/>
      <c r="AJ7" s="36"/>
      <c r="AT7" s="36"/>
      <c r="BD7" s="36"/>
    </row>
    <row r="8" spans="1:56" ht="39.950000000000003" customHeight="1" x14ac:dyDescent="0.2">
      <c r="Z8" s="36"/>
      <c r="AJ8" s="36"/>
      <c r="AT8" s="36"/>
      <c r="BD8" s="36"/>
    </row>
    <row r="9" spans="1:56" ht="39.950000000000003" customHeight="1" x14ac:dyDescent="0.2">
      <c r="Z9" s="36"/>
      <c r="AJ9" s="36"/>
      <c r="AT9" s="36"/>
      <c r="BD9" s="36"/>
    </row>
    <row r="10" spans="1:56" ht="20.25" customHeight="1" x14ac:dyDescent="0.2">
      <c r="Z10" s="36"/>
      <c r="AJ10" s="36"/>
      <c r="AT10" s="36"/>
      <c r="BD10" s="36"/>
    </row>
    <row r="11" spans="1:56" ht="0.75" customHeight="1" x14ac:dyDescent="0.2">
      <c r="Z11" s="36"/>
      <c r="AJ11" s="36"/>
      <c r="AT11" s="36"/>
      <c r="BD11" s="36"/>
    </row>
    <row r="12" spans="1:56" ht="0.75" customHeight="1" x14ac:dyDescent="0.2">
      <c r="Z12" s="36"/>
      <c r="AJ12" s="36"/>
      <c r="AT12" s="36"/>
      <c r="BD12" s="36"/>
    </row>
    <row r="13" spans="1:56" ht="0.75" customHeight="1" x14ac:dyDescent="0.2">
      <c r="Z13" s="58"/>
      <c r="AJ13" s="58"/>
      <c r="AT13" s="58"/>
      <c r="BD13" s="36"/>
    </row>
    <row r="14" spans="1:56" ht="99.95" customHeight="1" x14ac:dyDescent="0.2">
      <c r="B14" s="31"/>
      <c r="C14" s="28"/>
      <c r="D14" s="13"/>
      <c r="E14" s="32"/>
      <c r="F14" s="228" t="s">
        <v>327</v>
      </c>
      <c r="G14" s="228"/>
      <c r="H14" s="228"/>
      <c r="I14" s="228"/>
      <c r="J14" s="229"/>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row>
    <row r="15" spans="1:56" s="29" customFormat="1" ht="30" customHeight="1" x14ac:dyDescent="0.2">
      <c r="A15" s="15" t="s">
        <v>124</v>
      </c>
      <c r="B15" s="15" t="s">
        <v>13</v>
      </c>
      <c r="C15" s="15" t="s">
        <v>6</v>
      </c>
      <c r="D15" s="16" t="s">
        <v>15</v>
      </c>
      <c r="E15" s="15" t="s">
        <v>14</v>
      </c>
      <c r="F15" s="33">
        <f>IF(OR(ISBLANK(F14),F14="",F14=0,F14="0",ISERROR(F14)),0,1)</f>
        <v>1</v>
      </c>
      <c r="G15" s="33">
        <f>F15+1</f>
        <v>2</v>
      </c>
      <c r="H15" s="33">
        <f t="shared" ref="H15:BC15" si="1">G15+1</f>
        <v>3</v>
      </c>
      <c r="I15" s="33">
        <f t="shared" si="1"/>
        <v>4</v>
      </c>
      <c r="J15" s="33">
        <f t="shared" si="1"/>
        <v>5</v>
      </c>
      <c r="K15" s="33">
        <f t="shared" si="1"/>
        <v>6</v>
      </c>
      <c r="L15" s="33">
        <f t="shared" si="1"/>
        <v>7</v>
      </c>
      <c r="M15" s="33">
        <f t="shared" si="1"/>
        <v>8</v>
      </c>
      <c r="N15" s="33">
        <f t="shared" si="1"/>
        <v>9</v>
      </c>
      <c r="O15" s="33">
        <f t="shared" si="1"/>
        <v>10</v>
      </c>
      <c r="P15" s="33">
        <f t="shared" si="1"/>
        <v>11</v>
      </c>
      <c r="Q15" s="33">
        <f t="shared" si="1"/>
        <v>12</v>
      </c>
      <c r="R15" s="33">
        <f t="shared" si="1"/>
        <v>13</v>
      </c>
      <c r="S15" s="33">
        <f t="shared" si="1"/>
        <v>14</v>
      </c>
      <c r="T15" s="33">
        <f t="shared" si="1"/>
        <v>15</v>
      </c>
      <c r="U15" s="33">
        <f t="shared" si="1"/>
        <v>16</v>
      </c>
      <c r="V15" s="33">
        <f t="shared" si="1"/>
        <v>17</v>
      </c>
      <c r="W15" s="33">
        <f t="shared" si="1"/>
        <v>18</v>
      </c>
      <c r="X15" s="33">
        <f t="shared" si="1"/>
        <v>19</v>
      </c>
      <c r="Y15" s="33">
        <f t="shared" si="1"/>
        <v>20</v>
      </c>
      <c r="Z15" s="33">
        <f t="shared" si="1"/>
        <v>21</v>
      </c>
      <c r="AA15" s="33">
        <f t="shared" si="1"/>
        <v>22</v>
      </c>
      <c r="AB15" s="33">
        <f t="shared" si="1"/>
        <v>23</v>
      </c>
      <c r="AC15" s="33">
        <f t="shared" si="1"/>
        <v>24</v>
      </c>
      <c r="AD15" s="33">
        <f t="shared" si="1"/>
        <v>25</v>
      </c>
      <c r="AE15" s="33">
        <f t="shared" si="1"/>
        <v>26</v>
      </c>
      <c r="AF15" s="33">
        <f t="shared" si="1"/>
        <v>27</v>
      </c>
      <c r="AG15" s="33">
        <f t="shared" si="1"/>
        <v>28</v>
      </c>
      <c r="AH15" s="33">
        <f t="shared" si="1"/>
        <v>29</v>
      </c>
      <c r="AI15" s="33">
        <f t="shared" si="1"/>
        <v>30</v>
      </c>
      <c r="AJ15" s="33">
        <f t="shared" si="1"/>
        <v>31</v>
      </c>
      <c r="AK15" s="33">
        <f t="shared" si="1"/>
        <v>32</v>
      </c>
      <c r="AL15" s="33">
        <f t="shared" si="1"/>
        <v>33</v>
      </c>
      <c r="AM15" s="33">
        <f t="shared" si="1"/>
        <v>34</v>
      </c>
      <c r="AN15" s="33">
        <f t="shared" si="1"/>
        <v>35</v>
      </c>
      <c r="AO15" s="33">
        <f t="shared" si="1"/>
        <v>36</v>
      </c>
      <c r="AP15" s="33">
        <f t="shared" si="1"/>
        <v>37</v>
      </c>
      <c r="AQ15" s="33">
        <f t="shared" si="1"/>
        <v>38</v>
      </c>
      <c r="AR15" s="33">
        <f t="shared" si="1"/>
        <v>39</v>
      </c>
      <c r="AS15" s="33">
        <f t="shared" si="1"/>
        <v>40</v>
      </c>
      <c r="AT15" s="33">
        <f t="shared" si="1"/>
        <v>41</v>
      </c>
      <c r="AU15" s="33">
        <f t="shared" si="1"/>
        <v>42</v>
      </c>
      <c r="AV15" s="33">
        <f t="shared" si="1"/>
        <v>43</v>
      </c>
      <c r="AW15" s="33">
        <f t="shared" si="1"/>
        <v>44</v>
      </c>
      <c r="AX15" s="33">
        <f t="shared" si="1"/>
        <v>45</v>
      </c>
      <c r="AY15" s="33">
        <f t="shared" si="1"/>
        <v>46</v>
      </c>
      <c r="AZ15" s="33">
        <f t="shared" si="1"/>
        <v>47</v>
      </c>
      <c r="BA15" s="33">
        <f t="shared" si="1"/>
        <v>48</v>
      </c>
      <c r="BB15" s="33">
        <f t="shared" si="1"/>
        <v>49</v>
      </c>
      <c r="BC15" s="33">
        <f t="shared" si="1"/>
        <v>50</v>
      </c>
    </row>
    <row r="16" spans="1:56" x14ac:dyDescent="0.2">
      <c r="A16" s="56" t="str">
        <f>PO!K16</f>
        <v>Meta</v>
      </c>
      <c r="B16" s="25" t="str">
        <f ca="1">PO!L16</f>
        <v>1</v>
      </c>
      <c r="C16" s="25" t="str">
        <f>IF(PO!$O16=0,"",PO!$O16)</f>
        <v>(Descreva a Meta aqui)</v>
      </c>
      <c r="D16" s="26">
        <f>IF($C16="","",PO!P16)</f>
        <v>0</v>
      </c>
      <c r="E16" s="27">
        <f>IF(OR($C16="",RIGHT($A16,7)&lt;&gt;"Serviço"),0,SUMPRODUCT(($F$14:$BC$14&lt;&gt;"")*ROUND($F16:$BC16,2)))</f>
        <v>0</v>
      </c>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row>
    <row r="17" spans="1:55" x14ac:dyDescent="0.2">
      <c r="A17" s="56" t="str">
        <f>PO!K17</f>
        <v>Nível 2</v>
      </c>
      <c r="B17" s="25" t="str">
        <f ca="1">PO!L17</f>
        <v>1.1</v>
      </c>
      <c r="C17" s="25" t="str">
        <f>IF(PO!$O17=0,"",PO!$O17)</f>
        <v>(Descreva aqui o agrupador)</v>
      </c>
      <c r="D17" s="26">
        <f>IF($C17="","",PO!P17)</f>
        <v>0</v>
      </c>
      <c r="E17" s="27">
        <f>IF(OR($C17="",RIGHT($A17,7)&lt;&gt;"Serviço"),0,SUMPRODUCT(($F$14:$BC$14&lt;&gt;"")*ROUND($F17:$BC17,2)))</f>
        <v>0</v>
      </c>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row>
    <row r="18" spans="1:55" x14ac:dyDescent="0.2">
      <c r="A18" s="56" t="str">
        <f>PO!K18</f>
        <v>Serviço</v>
      </c>
      <c r="B18" s="25" t="str">
        <f ca="1">PO!L18</f>
        <v>1.1.1</v>
      </c>
      <c r="C18" s="25" t="str">
        <f>IF(PO!$O18=0,"",PO!$O18)</f>
        <v/>
      </c>
      <c r="D18" s="26" t="str">
        <f>IF($C18="","",PO!P18)</f>
        <v/>
      </c>
      <c r="E18" s="27">
        <f>IF(OR($C18="",RIGHT($A18,7)&lt;&gt;"Serviço"),0,SUMPRODUCT(($F$14:$BC$14&lt;&gt;"")*ROUND($F18:$BC18,2)))</f>
        <v>0</v>
      </c>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row>
    <row r="19" spans="1:55" x14ac:dyDescent="0.2">
      <c r="A19" s="56" t="str">
        <f>PO!K19</f>
        <v>Serviço</v>
      </c>
      <c r="B19" s="25" t="str">
        <f ca="1">PO!L19</f>
        <v>1.1.2</v>
      </c>
      <c r="C19" s="25" t="str">
        <f>IF(PO!$O19=0,"",PO!$O19)</f>
        <v/>
      </c>
      <c r="D19" s="26" t="str">
        <f>IF($C19="","",PO!P19)</f>
        <v/>
      </c>
      <c r="E19" s="27">
        <f>IF(OR($C19="",RIGHT($A19,7)&lt;&gt;"Serviço"),0,SUMPRODUCT(($F$14:$BC$14&lt;&gt;"")*ROUND($F19:$BC19,2)))</f>
        <v>0</v>
      </c>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row>
    <row r="20" spans="1:55" x14ac:dyDescent="0.2">
      <c r="A20" s="56" t="str">
        <f>PO!K20</f>
        <v>Serviço</v>
      </c>
      <c r="B20" s="25" t="str">
        <f ca="1">PO!L20</f>
        <v>1.1.3</v>
      </c>
      <c r="C20" s="25" t="str">
        <f>IF(PO!$O20=0,"",PO!$O20)</f>
        <v/>
      </c>
      <c r="D20" s="26" t="str">
        <f>IF($C20="","",PO!P20)</f>
        <v/>
      </c>
      <c r="E20" s="27">
        <f t="shared" ref="E20:E46" si="2">IF(OR($C20="",RIGHT($A20,7)&lt;&gt;"Serviço"),0,SUMPRODUCT(($F$14:$BC$14&lt;&gt;"")*ROUND($F20:$BC20,2)))</f>
        <v>0</v>
      </c>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row>
    <row r="21" spans="1:55" x14ac:dyDescent="0.2">
      <c r="A21" s="56" t="str">
        <f>PO!K21</f>
        <v>Serviço</v>
      </c>
      <c r="B21" s="25" t="str">
        <f ca="1">PO!L21</f>
        <v>1.1.4</v>
      </c>
      <c r="C21" s="25" t="str">
        <f>IF(PO!$O21=0,"",PO!$O21)</f>
        <v/>
      </c>
      <c r="D21" s="26" t="str">
        <f>IF($C21="","",PO!P21)</f>
        <v/>
      </c>
      <c r="E21" s="27">
        <f t="shared" si="2"/>
        <v>0</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row>
    <row r="22" spans="1:55" x14ac:dyDescent="0.2">
      <c r="A22" s="56" t="str">
        <f>PO!K22</f>
        <v>Serviço</v>
      </c>
      <c r="B22" s="25" t="str">
        <f ca="1">PO!L22</f>
        <v>1.1.5</v>
      </c>
      <c r="C22" s="25" t="str">
        <f>IF(PO!$O22=0,"",PO!$O22)</f>
        <v/>
      </c>
      <c r="D22" s="26" t="str">
        <f>IF($C22="","",PO!P22)</f>
        <v/>
      </c>
      <c r="E22" s="27">
        <f t="shared" si="2"/>
        <v>0</v>
      </c>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row>
    <row r="23" spans="1:55" x14ac:dyDescent="0.2">
      <c r="A23" s="56" t="str">
        <f>PO!K23</f>
        <v>Serviço</v>
      </c>
      <c r="B23" s="25" t="str">
        <f ca="1">PO!L23</f>
        <v>1.1.6</v>
      </c>
      <c r="C23" s="25" t="str">
        <f>IF(PO!$O23=0,"",PO!$O23)</f>
        <v/>
      </c>
      <c r="D23" s="26" t="str">
        <f>IF($C23="","",PO!P23)</f>
        <v/>
      </c>
      <c r="E23" s="27">
        <f t="shared" si="2"/>
        <v>0</v>
      </c>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row>
    <row r="24" spans="1:55" x14ac:dyDescent="0.2">
      <c r="A24" s="56" t="str">
        <f>PO!K24</f>
        <v>Serviço</v>
      </c>
      <c r="B24" s="25" t="str">
        <f ca="1">PO!L24</f>
        <v>1.1.7</v>
      </c>
      <c r="C24" s="25" t="str">
        <f>IF(PO!$O24=0,"",PO!$O24)</f>
        <v/>
      </c>
      <c r="D24" s="26" t="str">
        <f>IF($C24="","",PO!P24)</f>
        <v/>
      </c>
      <c r="E24" s="27">
        <f>IF(OR($C24="",RIGHT($A24,7)&lt;&gt;"Serviço"),0,SUMPRODUCT(($F$14:$BC$14&lt;&gt;"")*ROUND($F24:$BC24,2)))</f>
        <v>0</v>
      </c>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row>
    <row r="25" spans="1:55" x14ac:dyDescent="0.2">
      <c r="A25" s="56" t="str">
        <f>PO!K25</f>
        <v>Serviço</v>
      </c>
      <c r="B25" s="25" t="str">
        <f ca="1">PO!L25</f>
        <v>1.1.8</v>
      </c>
      <c r="C25" s="25" t="str">
        <f>IF(PO!$O25=0,"",PO!$O25)</f>
        <v/>
      </c>
      <c r="D25" s="26" t="str">
        <f>IF($C25="","",PO!P25)</f>
        <v/>
      </c>
      <c r="E25" s="27">
        <f>IF(OR($C25="",RIGHT($A25,7)&lt;&gt;"Serviço"),0,SUMPRODUCT(($F$14:$BC$14&lt;&gt;"")*ROUND($F25:$BC25,2)))</f>
        <v>0</v>
      </c>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row>
    <row r="26" spans="1:55" x14ac:dyDescent="0.2">
      <c r="A26" s="56" t="str">
        <f>PO!K26</f>
        <v>Serviço</v>
      </c>
      <c r="B26" s="25" t="str">
        <f ca="1">PO!L26</f>
        <v>1.1.9</v>
      </c>
      <c r="C26" s="25" t="str">
        <f>IF(PO!$O26=0,"",PO!$O26)</f>
        <v/>
      </c>
      <c r="D26" s="26" t="str">
        <f>IF($C26="","",PO!P26)</f>
        <v/>
      </c>
      <c r="E26" s="27">
        <f t="shared" si="2"/>
        <v>0</v>
      </c>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row>
    <row r="27" spans="1:55" x14ac:dyDescent="0.2">
      <c r="A27" s="56" t="str">
        <f>PO!K27</f>
        <v>Serviço</v>
      </c>
      <c r="B27" s="25" t="str">
        <f ca="1">PO!L27</f>
        <v>1.1.10</v>
      </c>
      <c r="C27" s="25" t="str">
        <f>IF(PO!$O27=0,"",PO!$O27)</f>
        <v/>
      </c>
      <c r="D27" s="26" t="str">
        <f>IF($C27="","",PO!P27)</f>
        <v/>
      </c>
      <c r="E27" s="27">
        <f t="shared" si="2"/>
        <v>0</v>
      </c>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row>
    <row r="28" spans="1:55" x14ac:dyDescent="0.2">
      <c r="A28" s="56" t="str">
        <f>PO!K28</f>
        <v>Serviço</v>
      </c>
      <c r="B28" s="25" t="str">
        <f ca="1">PO!L28</f>
        <v>1.1.11</v>
      </c>
      <c r="C28" s="25" t="str">
        <f>IF(PO!$O28=0,"",PO!$O28)</f>
        <v/>
      </c>
      <c r="D28" s="26" t="str">
        <f>IF($C28="","",PO!P28)</f>
        <v/>
      </c>
      <c r="E28" s="27">
        <f t="shared" si="2"/>
        <v>0</v>
      </c>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row>
    <row r="29" spans="1:55" x14ac:dyDescent="0.2">
      <c r="A29" s="56" t="str">
        <f>PO!K29</f>
        <v>Serviço</v>
      </c>
      <c r="B29" s="25" t="str">
        <f ca="1">PO!L29</f>
        <v>1.1.12</v>
      </c>
      <c r="C29" s="25" t="str">
        <f>IF(PO!$O29=0,"",PO!$O29)</f>
        <v/>
      </c>
      <c r="D29" s="26" t="str">
        <f>IF($C29="","",PO!P29)</f>
        <v/>
      </c>
      <c r="E29" s="27">
        <f t="shared" si="2"/>
        <v>0</v>
      </c>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row>
    <row r="30" spans="1:55" x14ac:dyDescent="0.2">
      <c r="A30" s="56" t="str">
        <f>PO!K30</f>
        <v>Serviço</v>
      </c>
      <c r="B30" s="25" t="str">
        <f ca="1">PO!L30</f>
        <v>1.1.13</v>
      </c>
      <c r="C30" s="25" t="str">
        <f>IF(PO!$O30=0,"",PO!$O30)</f>
        <v/>
      </c>
      <c r="D30" s="26" t="str">
        <f>IF($C30="","",PO!P30)</f>
        <v/>
      </c>
      <c r="E30" s="27">
        <f t="shared" si="2"/>
        <v>0</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row>
    <row r="31" spans="1:55" x14ac:dyDescent="0.2">
      <c r="A31" s="56" t="str">
        <f>PO!K31</f>
        <v>Serviço</v>
      </c>
      <c r="B31" s="25" t="str">
        <f ca="1">PO!L31</f>
        <v>1.1.14</v>
      </c>
      <c r="C31" s="25" t="str">
        <f>IF(PO!$O31=0,"",PO!$O31)</f>
        <v/>
      </c>
      <c r="D31" s="26" t="str">
        <f>IF($C31="","",PO!P31)</f>
        <v/>
      </c>
      <c r="E31" s="27">
        <f t="shared" si="2"/>
        <v>0</v>
      </c>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row>
    <row r="32" spans="1:55" x14ac:dyDescent="0.2">
      <c r="A32" s="56" t="str">
        <f>PO!K32</f>
        <v>Serviço</v>
      </c>
      <c r="B32" s="25" t="str">
        <f ca="1">PO!L32</f>
        <v>1.1.15</v>
      </c>
      <c r="C32" s="25" t="str">
        <f>IF(PO!$O32=0,"",PO!$O32)</f>
        <v/>
      </c>
      <c r="D32" s="26" t="str">
        <f>IF($C32="","",PO!P32)</f>
        <v/>
      </c>
      <c r="E32" s="27">
        <f t="shared" si="2"/>
        <v>0</v>
      </c>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row>
    <row r="33" spans="1:55" x14ac:dyDescent="0.2">
      <c r="A33" s="56" t="str">
        <f>PO!K33</f>
        <v>Serviço</v>
      </c>
      <c r="B33" s="25" t="str">
        <f ca="1">PO!L33</f>
        <v>1.1.16</v>
      </c>
      <c r="C33" s="25" t="str">
        <f>IF(PO!$O33=0,"",PO!$O33)</f>
        <v/>
      </c>
      <c r="D33" s="26" t="str">
        <f>IF($C33="","",PO!P33)</f>
        <v/>
      </c>
      <c r="E33" s="27">
        <f t="shared" si="2"/>
        <v>0</v>
      </c>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row>
    <row r="34" spans="1:55" x14ac:dyDescent="0.2">
      <c r="A34" s="56" t="str">
        <f>PO!K34</f>
        <v>Serviço</v>
      </c>
      <c r="B34" s="25" t="str">
        <f ca="1">PO!L34</f>
        <v>1.1.17</v>
      </c>
      <c r="C34" s="25" t="str">
        <f>IF(PO!$O34=0,"",PO!$O34)</f>
        <v/>
      </c>
      <c r="D34" s="26" t="str">
        <f>IF($C34="","",PO!P34)</f>
        <v/>
      </c>
      <c r="E34" s="27">
        <f t="shared" si="2"/>
        <v>0</v>
      </c>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row>
    <row r="35" spans="1:55" x14ac:dyDescent="0.2">
      <c r="A35" s="56" t="str">
        <f>PO!K35</f>
        <v>Serviço</v>
      </c>
      <c r="B35" s="25" t="str">
        <f ca="1">PO!L35</f>
        <v>1.1.18</v>
      </c>
      <c r="C35" s="25" t="str">
        <f>IF(PO!$O35=0,"",PO!$O35)</f>
        <v/>
      </c>
      <c r="D35" s="26" t="str">
        <f>IF($C35="","",PO!P35)</f>
        <v/>
      </c>
      <c r="E35" s="27">
        <f t="shared" si="2"/>
        <v>0</v>
      </c>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row>
    <row r="36" spans="1:55" x14ac:dyDescent="0.2">
      <c r="A36" s="56" t="str">
        <f>PO!K36</f>
        <v>Serviço</v>
      </c>
      <c r="B36" s="25" t="str">
        <f ca="1">PO!L36</f>
        <v>1.1.19</v>
      </c>
      <c r="C36" s="25" t="str">
        <f>IF(PO!$O36=0,"",PO!$O36)</f>
        <v/>
      </c>
      <c r="D36" s="26" t="str">
        <f>IF($C36="","",PO!P36)</f>
        <v/>
      </c>
      <c r="E36" s="27">
        <f t="shared" si="2"/>
        <v>0</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row>
    <row r="37" spans="1:55" x14ac:dyDescent="0.2">
      <c r="A37" s="56" t="str">
        <f>PO!K37</f>
        <v>Serviço</v>
      </c>
      <c r="B37" s="25" t="str">
        <f ca="1">PO!L37</f>
        <v>1.1.20</v>
      </c>
      <c r="C37" s="25" t="str">
        <f>IF(PO!$O37=0,"",PO!$O37)</f>
        <v/>
      </c>
      <c r="D37" s="26" t="str">
        <f>IF($C37="","",PO!P37)</f>
        <v/>
      </c>
      <c r="E37" s="27">
        <f t="shared" si="2"/>
        <v>0</v>
      </c>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row>
    <row r="38" spans="1:55" x14ac:dyDescent="0.2">
      <c r="A38" s="56" t="str">
        <f>PO!K38</f>
        <v>Serviço</v>
      </c>
      <c r="B38" s="25" t="str">
        <f ca="1">PO!L38</f>
        <v>1.1.21</v>
      </c>
      <c r="C38" s="25" t="str">
        <f>IF(PO!$O38=0,"",PO!$O38)</f>
        <v/>
      </c>
      <c r="D38" s="26" t="str">
        <f>IF($C38="","",PO!P38)</f>
        <v/>
      </c>
      <c r="E38" s="27">
        <f t="shared" si="2"/>
        <v>0</v>
      </c>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row>
    <row r="39" spans="1:55" x14ac:dyDescent="0.2">
      <c r="A39" s="56" t="str">
        <f>PO!K39</f>
        <v>Serviço</v>
      </c>
      <c r="B39" s="25" t="str">
        <f ca="1">PO!L39</f>
        <v>1.1.22</v>
      </c>
      <c r="C39" s="25" t="str">
        <f>IF(PO!$O39=0,"",PO!$O39)</f>
        <v/>
      </c>
      <c r="D39" s="26" t="str">
        <f>IF($C39="","",PO!P39)</f>
        <v/>
      </c>
      <c r="E39" s="27">
        <f t="shared" si="2"/>
        <v>0</v>
      </c>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row>
    <row r="40" spans="1:55" x14ac:dyDescent="0.2">
      <c r="A40" s="56" t="str">
        <f>PO!K40</f>
        <v>Serviço</v>
      </c>
      <c r="B40" s="25" t="str">
        <f ca="1">PO!L40</f>
        <v>1.1.23</v>
      </c>
      <c r="C40" s="25" t="str">
        <f>IF(PO!$O40=0,"",PO!$O40)</f>
        <v/>
      </c>
      <c r="D40" s="26" t="str">
        <f>IF($C40="","",PO!P40)</f>
        <v/>
      </c>
      <c r="E40" s="27">
        <f t="shared" si="2"/>
        <v>0</v>
      </c>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row>
    <row r="41" spans="1:55" x14ac:dyDescent="0.2">
      <c r="A41" s="56" t="str">
        <f>PO!K41</f>
        <v>Serviço</v>
      </c>
      <c r="B41" s="25" t="str">
        <f ca="1">PO!L41</f>
        <v>1.1.24</v>
      </c>
      <c r="C41" s="25" t="str">
        <f>IF(PO!$O41=0,"",PO!$O41)</f>
        <v/>
      </c>
      <c r="D41" s="26" t="str">
        <f>IF($C41="","",PO!P41)</f>
        <v/>
      </c>
      <c r="E41" s="27">
        <f t="shared" si="2"/>
        <v>0</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row>
    <row r="42" spans="1:55" x14ac:dyDescent="0.2">
      <c r="A42" s="56" t="str">
        <f>PO!K42</f>
        <v>Serviço</v>
      </c>
      <c r="B42" s="25" t="str">
        <f ca="1">PO!L42</f>
        <v>1.1.25</v>
      </c>
      <c r="C42" s="25" t="str">
        <f>IF(PO!$O42=0,"",PO!$O42)</f>
        <v/>
      </c>
      <c r="D42" s="26" t="str">
        <f>IF($C42="","",PO!P42)</f>
        <v/>
      </c>
      <c r="E42" s="27">
        <f t="shared" si="2"/>
        <v>0</v>
      </c>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row>
    <row r="43" spans="1:55" x14ac:dyDescent="0.2">
      <c r="A43" s="56" t="str">
        <f>PO!K43</f>
        <v>Serviço</v>
      </c>
      <c r="B43" s="25" t="str">
        <f ca="1">PO!L43</f>
        <v>1.1.26</v>
      </c>
      <c r="C43" s="25" t="str">
        <f>IF(PO!$O43=0,"",PO!$O43)</f>
        <v/>
      </c>
      <c r="D43" s="26" t="str">
        <f>IF($C43="","",PO!P43)</f>
        <v/>
      </c>
      <c r="E43" s="27">
        <f t="shared" si="2"/>
        <v>0</v>
      </c>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row>
    <row r="44" spans="1:55" x14ac:dyDescent="0.2">
      <c r="A44" s="56" t="str">
        <f>PO!K44</f>
        <v>Serviço</v>
      </c>
      <c r="B44" s="25" t="str">
        <f ca="1">PO!L44</f>
        <v>1.1.27</v>
      </c>
      <c r="C44" s="25" t="str">
        <f>IF(PO!$O44=0,"",PO!$O44)</f>
        <v/>
      </c>
      <c r="D44" s="26" t="str">
        <f>IF($C44="","",PO!P44)</f>
        <v/>
      </c>
      <c r="E44" s="27">
        <f t="shared" si="2"/>
        <v>0</v>
      </c>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row>
    <row r="45" spans="1:55" x14ac:dyDescent="0.2">
      <c r="A45" s="56" t="str">
        <f>PO!K45</f>
        <v>Serviço</v>
      </c>
      <c r="B45" s="25" t="str">
        <f ca="1">PO!L45</f>
        <v>1.1.28</v>
      </c>
      <c r="C45" s="25" t="str">
        <f>IF(PO!$O45=0,"",PO!$O45)</f>
        <v/>
      </c>
      <c r="D45" s="26" t="str">
        <f>IF($C45="","",PO!P45)</f>
        <v/>
      </c>
      <c r="E45" s="27">
        <f t="shared" si="2"/>
        <v>0</v>
      </c>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1:55" x14ac:dyDescent="0.2">
      <c r="A46" s="56" t="str">
        <f>PO!K46</f>
        <v>Serviço</v>
      </c>
      <c r="B46" s="25" t="str">
        <f ca="1">PO!L46</f>
        <v>1.1.29</v>
      </c>
      <c r="C46" s="25" t="str">
        <f>IF(PO!$O46=0,"",PO!$O46)</f>
        <v/>
      </c>
      <c r="D46" s="26" t="str">
        <f>IF($C46="","",PO!P46)</f>
        <v/>
      </c>
      <c r="E46" s="27">
        <f t="shared" si="2"/>
        <v>0</v>
      </c>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1:55" x14ac:dyDescent="0.2">
      <c r="A47" s="56" t="str">
        <f>PO!K47</f>
        <v>Serviço</v>
      </c>
      <c r="B47" s="25" t="str">
        <f ca="1">PO!L47</f>
        <v>1.1.30</v>
      </c>
      <c r="C47" s="25" t="str">
        <f>IF(PO!$O47=0,"",PO!$O47)</f>
        <v/>
      </c>
      <c r="D47" s="26" t="str">
        <f>IF($C47="","",PO!P47)</f>
        <v/>
      </c>
      <c r="E47" s="27">
        <f>IF(OR($C47="",RIGHT($A47,7)&lt;&gt;"Serviço"),0,SUMPRODUCT(($F$14:$BC$14&lt;&gt;"")*ROUND($F47:$BC47,2)))</f>
        <v>0</v>
      </c>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9" spans="2:55" x14ac:dyDescent="0.2">
      <c r="B49" s="13"/>
      <c r="C49" s="28"/>
      <c r="D49" s="13"/>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row>
    <row r="50" spans="2:55" x14ac:dyDescent="0.2">
      <c r="B50" s="13"/>
      <c r="C50" s="28"/>
      <c r="D50" s="13"/>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row>
    <row r="51" spans="2:55" x14ac:dyDescent="0.2">
      <c r="B51" s="13"/>
      <c r="C51" s="28"/>
      <c r="D51" s="13"/>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row>
    <row r="52" spans="2:55" x14ac:dyDescent="0.2">
      <c r="B52" s="13"/>
      <c r="C52" s="28"/>
      <c r="D52" s="13"/>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row>
    <row r="53" spans="2:55" x14ac:dyDescent="0.2">
      <c r="B53" s="13"/>
      <c r="C53" s="28"/>
      <c r="D53" s="13"/>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row>
    <row r="54" spans="2:55" x14ac:dyDescent="0.2">
      <c r="B54" s="13"/>
      <c r="C54" s="28"/>
      <c r="D54" s="13"/>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row>
    <row r="55" spans="2:55" x14ac:dyDescent="0.2">
      <c r="B55" s="13"/>
      <c r="C55" s="28"/>
      <c r="D55" s="13"/>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row>
    <row r="56" spans="2:55" x14ac:dyDescent="0.2">
      <c r="B56" s="13"/>
      <c r="C56" s="28"/>
      <c r="D56" s="13"/>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row>
    <row r="57" spans="2:55" x14ac:dyDescent="0.2">
      <c r="B57" s="13"/>
      <c r="C57" s="28"/>
      <c r="D57" s="13"/>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row>
    <row r="58" spans="2:55" x14ac:dyDescent="0.2">
      <c r="B58" s="13"/>
      <c r="C58" s="28"/>
      <c r="D58" s="13"/>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row>
    <row r="59" spans="2:55" x14ac:dyDescent="0.2">
      <c r="B59" s="13"/>
      <c r="C59" s="28"/>
      <c r="D59" s="13"/>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row>
    <row r="60" spans="2:55" x14ac:dyDescent="0.2">
      <c r="B60" s="13"/>
      <c r="C60" s="28"/>
      <c r="D60" s="13"/>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row>
    <row r="61" spans="2:55" x14ac:dyDescent="0.2">
      <c r="B61" s="13"/>
      <c r="C61" s="28"/>
      <c r="D61" s="13"/>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row>
    <row r="62" spans="2:55" x14ac:dyDescent="0.2">
      <c r="B62" s="13"/>
      <c r="C62" s="28"/>
      <c r="D62" s="13"/>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row>
    <row r="63" spans="2:55" x14ac:dyDescent="0.2">
      <c r="B63" s="13"/>
      <c r="C63" s="28"/>
      <c r="D63" s="13"/>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row>
    <row r="64" spans="2:55" x14ac:dyDescent="0.2">
      <c r="B64" s="13"/>
      <c r="C64" s="28"/>
      <c r="D64" s="13"/>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row>
    <row r="65" spans="2:55" x14ac:dyDescent="0.2">
      <c r="B65" s="13"/>
      <c r="C65" s="28"/>
      <c r="D65" s="13"/>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row>
    <row r="66" spans="2:55" x14ac:dyDescent="0.2">
      <c r="B66" s="13"/>
      <c r="C66" s="28"/>
      <c r="D66" s="13"/>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row>
    <row r="67" spans="2:55" x14ac:dyDescent="0.2">
      <c r="B67" s="13"/>
      <c r="C67" s="28"/>
      <c r="D67" s="13"/>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row>
    <row r="68" spans="2:55" x14ac:dyDescent="0.2">
      <c r="B68" s="13"/>
      <c r="C68" s="28"/>
      <c r="D68" s="13"/>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row>
    <row r="69" spans="2:55" x14ac:dyDescent="0.2">
      <c r="B69" s="13"/>
      <c r="C69" s="28"/>
      <c r="D69" s="13"/>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row>
    <row r="70" spans="2:55" x14ac:dyDescent="0.2">
      <c r="B70" s="13"/>
      <c r="C70" s="28"/>
      <c r="D70" s="13"/>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row>
    <row r="71" spans="2:55" x14ac:dyDescent="0.2">
      <c r="B71" s="13"/>
      <c r="C71" s="28"/>
      <c r="D71" s="13"/>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row>
    <row r="72" spans="2:55" x14ac:dyDescent="0.2">
      <c r="B72" s="13"/>
      <c r="C72" s="28"/>
      <c r="D72" s="13"/>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row>
    <row r="73" spans="2:55" x14ac:dyDescent="0.2">
      <c r="B73" s="13"/>
      <c r="C73" s="28"/>
      <c r="D73" s="13"/>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row>
    <row r="74" spans="2:55" x14ac:dyDescent="0.2">
      <c r="B74" s="13"/>
      <c r="C74" s="28"/>
      <c r="D74" s="13"/>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row>
    <row r="75" spans="2:55" x14ac:dyDescent="0.2">
      <c r="B75" s="13"/>
      <c r="C75" s="28"/>
      <c r="D75" s="13"/>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row>
    <row r="76" spans="2:55" x14ac:dyDescent="0.2">
      <c r="B76" s="13"/>
      <c r="C76" s="28"/>
      <c r="D76" s="13"/>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row>
    <row r="77" spans="2:55" x14ac:dyDescent="0.2">
      <c r="B77" s="13"/>
      <c r="C77" s="28"/>
      <c r="D77" s="13"/>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row>
    <row r="78" spans="2:55" x14ac:dyDescent="0.2">
      <c r="B78" s="13"/>
      <c r="C78" s="28"/>
      <c r="D78" s="13"/>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row>
    <row r="79" spans="2:55" x14ac:dyDescent="0.2">
      <c r="B79" s="13"/>
      <c r="C79" s="28"/>
      <c r="D79" s="13"/>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row>
    <row r="80" spans="2:55" x14ac:dyDescent="0.2">
      <c r="B80" s="13"/>
      <c r="C80" s="28"/>
      <c r="D80" s="13"/>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row>
    <row r="81" spans="2:55" x14ac:dyDescent="0.2">
      <c r="B81" s="13"/>
      <c r="C81" s="28"/>
      <c r="D81" s="13"/>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row>
    <row r="82" spans="2:55" x14ac:dyDescent="0.2">
      <c r="B82" s="13"/>
      <c r="C82" s="28"/>
      <c r="D82" s="13"/>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row>
    <row r="83" spans="2:55" x14ac:dyDescent="0.2">
      <c r="B83" s="13"/>
      <c r="C83" s="28"/>
      <c r="D83" s="13"/>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row>
    <row r="84" spans="2:55" x14ac:dyDescent="0.2">
      <c r="B84" s="13"/>
      <c r="C84" s="28"/>
      <c r="D84" s="13"/>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row>
    <row r="85" spans="2:55" x14ac:dyDescent="0.2">
      <c r="B85" s="13"/>
      <c r="C85" s="28"/>
      <c r="D85" s="13"/>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row>
    <row r="86" spans="2:55" x14ac:dyDescent="0.2">
      <c r="B86" s="13"/>
      <c r="C86" s="28"/>
      <c r="D86" s="13"/>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row>
    <row r="87" spans="2:55" x14ac:dyDescent="0.2">
      <c r="B87" s="13"/>
      <c r="C87" s="28"/>
      <c r="D87" s="13"/>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row>
    <row r="88" spans="2:55" x14ac:dyDescent="0.2">
      <c r="B88" s="13"/>
      <c r="C88" s="28"/>
      <c r="D88" s="13"/>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row>
    <row r="89" spans="2:55" x14ac:dyDescent="0.2">
      <c r="B89" s="13"/>
      <c r="C89" s="28"/>
      <c r="D89" s="13"/>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row>
    <row r="90" spans="2:55" x14ac:dyDescent="0.2">
      <c r="B90" s="13"/>
      <c r="C90" s="28"/>
      <c r="D90" s="13"/>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row>
    <row r="91" spans="2:55" x14ac:dyDescent="0.2">
      <c r="B91" s="13"/>
      <c r="C91" s="28"/>
      <c r="D91" s="13"/>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row>
    <row r="92" spans="2:55" x14ac:dyDescent="0.2">
      <c r="B92" s="13"/>
      <c r="C92" s="28"/>
      <c r="D92" s="13"/>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row>
    <row r="93" spans="2:55" x14ac:dyDescent="0.2">
      <c r="B93" s="13"/>
      <c r="C93" s="28"/>
      <c r="D93" s="13"/>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row>
    <row r="94" spans="2:55" x14ac:dyDescent="0.2">
      <c r="B94" s="13"/>
      <c r="C94" s="28"/>
      <c r="D94" s="13"/>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row>
    <row r="95" spans="2:55" x14ac:dyDescent="0.2">
      <c r="B95" s="13"/>
      <c r="C95" s="28"/>
      <c r="D95" s="13"/>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row>
    <row r="96" spans="2:55" x14ac:dyDescent="0.2">
      <c r="B96" s="13"/>
      <c r="C96" s="28"/>
      <c r="D96" s="13"/>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row>
    <row r="97" spans="2:55" x14ac:dyDescent="0.2">
      <c r="B97" s="13"/>
      <c r="C97" s="28"/>
      <c r="D97" s="13"/>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row>
    <row r="98" spans="2:55" x14ac:dyDescent="0.2">
      <c r="B98" s="13"/>
      <c r="C98" s="28"/>
      <c r="D98" s="13"/>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row>
    <row r="99" spans="2:55" x14ac:dyDescent="0.2">
      <c r="B99" s="13"/>
      <c r="C99" s="28"/>
      <c r="D99" s="13"/>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row>
    <row r="100" spans="2:55" x14ac:dyDescent="0.2">
      <c r="B100" s="13"/>
      <c r="C100" s="28"/>
      <c r="D100" s="13"/>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row>
    <row r="101" spans="2:55" x14ac:dyDescent="0.2">
      <c r="B101" s="13"/>
      <c r="C101" s="28"/>
      <c r="D101" s="13"/>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row>
    <row r="102" spans="2:55" x14ac:dyDescent="0.2">
      <c r="B102" s="13"/>
      <c r="C102" s="28"/>
      <c r="D102" s="13"/>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row>
    <row r="103" spans="2:55" x14ac:dyDescent="0.2">
      <c r="B103" s="13"/>
      <c r="C103" s="28"/>
      <c r="D103" s="13"/>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row>
    <row r="104" spans="2:55" x14ac:dyDescent="0.2">
      <c r="B104" s="13"/>
      <c r="C104" s="28"/>
      <c r="D104" s="13"/>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row>
    <row r="105" spans="2:55" x14ac:dyDescent="0.2">
      <c r="B105" s="13"/>
      <c r="C105" s="28"/>
      <c r="D105" s="13"/>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row>
    <row r="106" spans="2:55" x14ac:dyDescent="0.2">
      <c r="B106" s="13"/>
      <c r="C106" s="28"/>
      <c r="D106" s="13"/>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row>
    <row r="107" spans="2:55" x14ac:dyDescent="0.2">
      <c r="B107" s="13"/>
      <c r="C107" s="28"/>
      <c r="D107" s="13"/>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row>
    <row r="108" spans="2:55" x14ac:dyDescent="0.2">
      <c r="B108" s="13"/>
      <c r="C108" s="28"/>
      <c r="D108" s="13"/>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row>
    <row r="109" spans="2:55" x14ac:dyDescent="0.2">
      <c r="B109" s="13"/>
      <c r="C109" s="28"/>
      <c r="D109" s="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row>
    <row r="110" spans="2:55" x14ac:dyDescent="0.2">
      <c r="B110" s="13"/>
      <c r="C110" s="28"/>
      <c r="D110" s="13"/>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row>
    <row r="111" spans="2:55" x14ac:dyDescent="0.2">
      <c r="B111" s="13"/>
      <c r="C111" s="28"/>
      <c r="D111" s="13"/>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row>
    <row r="112" spans="2:55" x14ac:dyDescent="0.2">
      <c r="B112" s="13"/>
      <c r="C112" s="28"/>
      <c r="D112" s="13"/>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row>
    <row r="113" spans="2:55" x14ac:dyDescent="0.2">
      <c r="B113" s="13"/>
      <c r="C113" s="28"/>
      <c r="D113" s="13"/>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row>
    <row r="114" spans="2:55" x14ac:dyDescent="0.2">
      <c r="B114" s="13"/>
      <c r="C114" s="28"/>
      <c r="D114" s="13"/>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row>
    <row r="115" spans="2:55" x14ac:dyDescent="0.2">
      <c r="B115" s="13"/>
      <c r="C115" s="28"/>
      <c r="D115" s="13"/>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row>
    <row r="116" spans="2:55" x14ac:dyDescent="0.2">
      <c r="B116" s="13"/>
      <c r="C116" s="28"/>
      <c r="D116" s="13"/>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row>
    <row r="117" spans="2:55" x14ac:dyDescent="0.2">
      <c r="B117" s="13"/>
      <c r="C117" s="28"/>
      <c r="D117" s="13"/>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row>
    <row r="118" spans="2:55" x14ac:dyDescent="0.2">
      <c r="B118" s="13"/>
      <c r="C118" s="28"/>
      <c r="D118" s="13"/>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row>
    <row r="119" spans="2:55" x14ac:dyDescent="0.2">
      <c r="B119" s="13"/>
      <c r="C119" s="28"/>
      <c r="D119" s="13"/>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row>
    <row r="120" spans="2:55" x14ac:dyDescent="0.2">
      <c r="B120" s="13"/>
      <c r="C120" s="28"/>
      <c r="D120" s="13"/>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row>
    <row r="121" spans="2:55" x14ac:dyDescent="0.2">
      <c r="B121" s="13"/>
      <c r="C121" s="28"/>
      <c r="D121" s="13"/>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row>
    <row r="122" spans="2:55" x14ac:dyDescent="0.2">
      <c r="B122" s="13"/>
      <c r="C122" s="28"/>
      <c r="D122" s="13"/>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row>
    <row r="123" spans="2:55" x14ac:dyDescent="0.2">
      <c r="B123" s="13"/>
      <c r="C123" s="28"/>
      <c r="D123" s="13"/>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row>
    <row r="124" spans="2:55" x14ac:dyDescent="0.2">
      <c r="B124" s="13"/>
      <c r="C124" s="28"/>
      <c r="D124" s="13"/>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row>
    <row r="125" spans="2:55" x14ac:dyDescent="0.2">
      <c r="B125" s="13"/>
      <c r="C125" s="28"/>
      <c r="D125" s="13"/>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row>
    <row r="126" spans="2:55" x14ac:dyDescent="0.2">
      <c r="B126" s="13"/>
      <c r="C126" s="28"/>
      <c r="D126" s="13"/>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row>
    <row r="127" spans="2:55" x14ac:dyDescent="0.2">
      <c r="B127" s="13"/>
      <c r="C127" s="28"/>
      <c r="D127" s="13"/>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row>
    <row r="128" spans="2:55" x14ac:dyDescent="0.2">
      <c r="B128" s="13"/>
      <c r="C128" s="28"/>
      <c r="D128" s="13"/>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row>
    <row r="129" spans="2:55" x14ac:dyDescent="0.2">
      <c r="B129" s="13"/>
      <c r="C129" s="28"/>
      <c r="D129" s="13"/>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row>
    <row r="130" spans="2:55" x14ac:dyDescent="0.2">
      <c r="B130" s="13"/>
      <c r="C130" s="28"/>
      <c r="D130" s="13"/>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row>
    <row r="131" spans="2:55" x14ac:dyDescent="0.2">
      <c r="B131" s="13"/>
      <c r="C131" s="28"/>
      <c r="D131" s="13"/>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row>
    <row r="132" spans="2:55" x14ac:dyDescent="0.2">
      <c r="B132" s="13"/>
      <c r="C132" s="28"/>
      <c r="D132" s="13"/>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row>
    <row r="133" spans="2:55" x14ac:dyDescent="0.2">
      <c r="B133" s="13"/>
      <c r="C133" s="28"/>
      <c r="D133" s="13"/>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row>
    <row r="134" spans="2:55" x14ac:dyDescent="0.2">
      <c r="B134" s="13"/>
      <c r="C134" s="28"/>
      <c r="D134" s="13"/>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row>
    <row r="135" spans="2:55" x14ac:dyDescent="0.2">
      <c r="B135" s="13"/>
      <c r="C135" s="28"/>
      <c r="D135" s="13"/>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row>
    <row r="136" spans="2:55" x14ac:dyDescent="0.2">
      <c r="B136" s="13"/>
      <c r="C136" s="28"/>
      <c r="D136" s="13"/>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row>
    <row r="137" spans="2:55" x14ac:dyDescent="0.2">
      <c r="B137" s="13"/>
      <c r="C137" s="28"/>
      <c r="D137" s="13"/>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row>
    <row r="138" spans="2:55" x14ac:dyDescent="0.2">
      <c r="B138" s="13"/>
      <c r="C138" s="28"/>
      <c r="D138" s="13"/>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row>
    <row r="139" spans="2:55" x14ac:dyDescent="0.2">
      <c r="B139" s="13"/>
      <c r="C139" s="28"/>
      <c r="D139" s="13"/>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row>
    <row r="140" spans="2:55" x14ac:dyDescent="0.2">
      <c r="B140" s="13"/>
      <c r="C140" s="28"/>
      <c r="D140" s="13"/>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row>
    <row r="141" spans="2:55" x14ac:dyDescent="0.2">
      <c r="B141" s="13"/>
      <c r="C141" s="28"/>
      <c r="D141" s="13"/>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row>
    <row r="142" spans="2:55" x14ac:dyDescent="0.2">
      <c r="B142" s="13"/>
      <c r="C142" s="28"/>
      <c r="D142" s="13"/>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row>
    <row r="143" spans="2:55" x14ac:dyDescent="0.2">
      <c r="B143" s="13"/>
      <c r="C143" s="28"/>
      <c r="D143" s="13"/>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row>
    <row r="144" spans="2:55" x14ac:dyDescent="0.2">
      <c r="B144" s="13"/>
      <c r="C144" s="28"/>
      <c r="D144" s="13"/>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row>
    <row r="145" spans="2:55" x14ac:dyDescent="0.2">
      <c r="B145" s="13"/>
      <c r="C145" s="28"/>
      <c r="D145" s="13"/>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row>
    <row r="146" spans="2:55" x14ac:dyDescent="0.2">
      <c r="B146" s="13"/>
      <c r="C146" s="28"/>
      <c r="D146" s="13"/>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row>
    <row r="147" spans="2:55" x14ac:dyDescent="0.2">
      <c r="B147" s="13"/>
      <c r="C147" s="28"/>
      <c r="D147" s="13"/>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row>
    <row r="148" spans="2:55" x14ac:dyDescent="0.2">
      <c r="B148" s="13"/>
      <c r="C148" s="28"/>
      <c r="D148" s="13"/>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row>
    <row r="149" spans="2:55" x14ac:dyDescent="0.2">
      <c r="B149" s="13"/>
      <c r="C149" s="28"/>
      <c r="D149" s="13"/>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row>
    <row r="150" spans="2:55" x14ac:dyDescent="0.2">
      <c r="B150" s="13"/>
      <c r="C150" s="28"/>
      <c r="D150" s="13"/>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row>
    <row r="151" spans="2:55" x14ac:dyDescent="0.2">
      <c r="B151" s="13"/>
      <c r="C151" s="28"/>
      <c r="D151" s="13"/>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row>
    <row r="152" spans="2:55" x14ac:dyDescent="0.2">
      <c r="B152" s="13"/>
      <c r="C152" s="28"/>
      <c r="D152" s="13"/>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row>
    <row r="153" spans="2:55" x14ac:dyDescent="0.2">
      <c r="B153" s="13"/>
      <c r="C153" s="28"/>
      <c r="D153" s="13"/>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row>
    <row r="154" spans="2:55" x14ac:dyDescent="0.2">
      <c r="B154" s="13"/>
      <c r="C154" s="28"/>
      <c r="D154" s="13"/>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row>
    <row r="155" spans="2:55" x14ac:dyDescent="0.2">
      <c r="B155" s="13"/>
      <c r="C155" s="28"/>
      <c r="D155" s="13"/>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row>
    <row r="156" spans="2:55" x14ac:dyDescent="0.2">
      <c r="B156" s="13"/>
      <c r="C156" s="28"/>
      <c r="D156" s="13"/>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row>
    <row r="157" spans="2:55" x14ac:dyDescent="0.2">
      <c r="B157" s="13"/>
      <c r="C157" s="28"/>
      <c r="D157" s="13"/>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row>
    <row r="158" spans="2:55" x14ac:dyDescent="0.2">
      <c r="B158" s="13"/>
      <c r="C158" s="28"/>
      <c r="D158" s="13"/>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row>
    <row r="159" spans="2:55" x14ac:dyDescent="0.2">
      <c r="B159" s="13"/>
      <c r="C159" s="28"/>
      <c r="D159" s="13"/>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row>
    <row r="160" spans="2:55" x14ac:dyDescent="0.2">
      <c r="B160" s="13"/>
      <c r="C160" s="28"/>
      <c r="D160" s="13"/>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row>
    <row r="161" spans="2:55" x14ac:dyDescent="0.2">
      <c r="B161" s="13"/>
      <c r="C161" s="28"/>
      <c r="D161" s="13"/>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row>
    <row r="162" spans="2:55" x14ac:dyDescent="0.2">
      <c r="B162" s="13"/>
      <c r="C162" s="28"/>
      <c r="D162" s="13"/>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row>
    <row r="163" spans="2:55" x14ac:dyDescent="0.2">
      <c r="B163" s="13"/>
      <c r="C163" s="28"/>
      <c r="D163" s="13"/>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row>
    <row r="164" spans="2:55" x14ac:dyDescent="0.2">
      <c r="B164" s="13"/>
      <c r="C164" s="28"/>
      <c r="D164" s="13"/>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row>
    <row r="165" spans="2:55" x14ac:dyDescent="0.2">
      <c r="B165" s="13"/>
      <c r="C165" s="28"/>
      <c r="D165" s="13"/>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row>
    <row r="166" spans="2:55" x14ac:dyDescent="0.2">
      <c r="B166" s="13"/>
      <c r="C166" s="28"/>
      <c r="D166" s="13"/>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row>
    <row r="167" spans="2:55" x14ac:dyDescent="0.2">
      <c r="B167" s="13"/>
      <c r="C167" s="28"/>
      <c r="D167" s="13"/>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row>
    <row r="168" spans="2:55" x14ac:dyDescent="0.2">
      <c r="B168" s="13"/>
      <c r="C168" s="28"/>
      <c r="D168" s="13"/>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row>
    <row r="169" spans="2:55" x14ac:dyDescent="0.2">
      <c r="B169" s="13"/>
      <c r="C169" s="28"/>
      <c r="D169" s="13"/>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row>
    <row r="170" spans="2:55" x14ac:dyDescent="0.2">
      <c r="B170" s="13"/>
      <c r="C170" s="28"/>
      <c r="D170" s="13"/>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row>
    <row r="171" spans="2:55" x14ac:dyDescent="0.2">
      <c r="B171" s="13"/>
      <c r="C171" s="28"/>
      <c r="D171" s="13"/>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row>
    <row r="172" spans="2:55" x14ac:dyDescent="0.2">
      <c r="B172" s="13"/>
      <c r="C172" s="28"/>
      <c r="D172" s="13"/>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row>
    <row r="173" spans="2:55" x14ac:dyDescent="0.2">
      <c r="B173" s="13"/>
      <c r="C173" s="28"/>
      <c r="D173" s="13"/>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row>
    <row r="174" spans="2:55" x14ac:dyDescent="0.2">
      <c r="B174" s="13"/>
      <c r="C174" s="28"/>
      <c r="D174" s="13"/>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row>
    <row r="175" spans="2:55" x14ac:dyDescent="0.2">
      <c r="B175" s="13"/>
      <c r="C175" s="28"/>
      <c r="D175" s="13"/>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row>
    <row r="176" spans="2:55" x14ac:dyDescent="0.2">
      <c r="B176" s="13"/>
      <c r="C176" s="28"/>
      <c r="D176" s="13"/>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row>
    <row r="177" spans="2:55" x14ac:dyDescent="0.2">
      <c r="B177" s="13"/>
      <c r="C177" s="28"/>
      <c r="D177" s="13"/>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row>
    <row r="178" spans="2:55" x14ac:dyDescent="0.2">
      <c r="B178" s="13"/>
      <c r="C178" s="28"/>
      <c r="D178" s="13"/>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row>
    <row r="179" spans="2:55" x14ac:dyDescent="0.2">
      <c r="B179" s="13"/>
      <c r="C179" s="28"/>
      <c r="D179" s="13"/>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row>
    <row r="180" spans="2:55" x14ac:dyDescent="0.2">
      <c r="B180" s="13"/>
      <c r="C180" s="28"/>
      <c r="D180" s="13"/>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row>
    <row r="181" spans="2:55" x14ac:dyDescent="0.2">
      <c r="B181" s="13"/>
      <c r="C181" s="28"/>
      <c r="D181" s="13"/>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row>
    <row r="182" spans="2:55" x14ac:dyDescent="0.2">
      <c r="B182" s="13"/>
      <c r="C182" s="28"/>
      <c r="D182" s="13"/>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row>
    <row r="183" spans="2:55" x14ac:dyDescent="0.2">
      <c r="B183" s="13"/>
      <c r="C183" s="28"/>
      <c r="D183" s="13"/>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row>
    <row r="184" spans="2:55" x14ac:dyDescent="0.2">
      <c r="B184" s="13"/>
      <c r="C184" s="28"/>
      <c r="D184" s="13"/>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row>
    <row r="185" spans="2:55" x14ac:dyDescent="0.2">
      <c r="B185" s="13"/>
      <c r="C185" s="28"/>
      <c r="D185" s="13"/>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row>
    <row r="186" spans="2:55" x14ac:dyDescent="0.2">
      <c r="B186" s="13"/>
      <c r="C186" s="28"/>
      <c r="D186" s="13"/>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row>
    <row r="187" spans="2:55" x14ac:dyDescent="0.2">
      <c r="B187" s="13"/>
      <c r="C187" s="28"/>
      <c r="D187" s="13"/>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row>
    <row r="188" spans="2:55" x14ac:dyDescent="0.2">
      <c r="B188" s="13"/>
      <c r="C188" s="28"/>
      <c r="D188" s="13"/>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row>
    <row r="189" spans="2:55" x14ac:dyDescent="0.2">
      <c r="B189" s="13"/>
      <c r="C189" s="28"/>
      <c r="D189" s="13"/>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row>
    <row r="190" spans="2:55" x14ac:dyDescent="0.2">
      <c r="B190" s="13"/>
      <c r="C190" s="28"/>
      <c r="D190" s="13"/>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row>
    <row r="191" spans="2:55" x14ac:dyDescent="0.2">
      <c r="B191" s="13"/>
      <c r="C191" s="28"/>
      <c r="D191" s="13"/>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row>
  </sheetData>
  <sheetProtection password="E005" sheet="1" objects="1" scenarios="1" autoFilter="0"/>
  <phoneticPr fontId="25" type="noConversion"/>
  <conditionalFormatting sqref="A2:C2 A16:C47">
    <cfRule type="expression" dxfId="38" priority="217" stopIfTrue="1">
      <formula>$A2="Meta"</formula>
    </cfRule>
    <cfRule type="expression" dxfId="37" priority="218" stopIfTrue="1">
      <formula>LEFT($A2,5)="Nível"</formula>
    </cfRule>
  </conditionalFormatting>
  <conditionalFormatting sqref="D2 D16:D47">
    <cfRule type="expression" dxfId="36" priority="219" stopIfTrue="1">
      <formula>$A2="Meta"</formula>
    </cfRule>
    <cfRule type="expression" dxfId="35" priority="220" stopIfTrue="1">
      <formula>LEFT($A2,5)="Nível"</formula>
    </cfRule>
  </conditionalFormatting>
  <conditionalFormatting sqref="G14:BC14">
    <cfRule type="expression" dxfId="34" priority="225" stopIfTrue="1">
      <formula>AND(F14=0,G14=0)</formula>
    </cfRule>
  </conditionalFormatting>
  <conditionalFormatting sqref="F2:BC2 F16:BC47">
    <cfRule type="expression" dxfId="33" priority="226" stopIfTrue="1">
      <formula>F$14=0</formula>
    </cfRule>
    <cfRule type="expression" dxfId="32" priority="227" stopIfTrue="1">
      <formula>$A2="Meta"</formula>
    </cfRule>
    <cfRule type="expression" dxfId="31" priority="228" stopIfTrue="1">
      <formula>LEFT($A2,5)="Nível"</formula>
    </cfRule>
  </conditionalFormatting>
  <dataValidations count="1">
    <dataValidation type="decimal" operator="greaterThanOrEqual" allowBlank="1" showInputMessage="1" showErrorMessage="1" error="Digite apenas números._x000a__x000a_preferencialmente com 02 casas de precisão." sqref="F2:BC2 F18:BC47">
      <formula1>0</formula1>
    </dataValidation>
  </dataValidations>
  <pageMargins left="0.78740157480314965" right="0.78740157480314965" top="0.78740157480314965" bottom="0.78740157480314965" header="0.59055118110236227" footer="0.59055118110236227"/>
  <pageSetup paperSize="9" scale="63" firstPageNumber="3" fitToHeight="0" pageOrder="overThenDown" orientation="landscape" useFirstPageNumber="1" horizontalDpi="4294967294" verticalDpi="4294967294" r:id="rId1"/>
  <headerFooter>
    <oddFooter>&amp;L27.476 v001  micro&amp;R&amp;P</oddFooter>
  </headerFooter>
  <colBreaks count="4" manualBreakCount="4">
    <brk id="15" max="1048575" man="1"/>
    <brk id="25" max="1048575" man="1"/>
    <brk id="35" max="1048575" man="1"/>
    <brk id="45" max="1048575" man="1"/>
  </colBreaks>
  <drawing r:id="rId2"/>
  <legacyDrawing r:id="rId3"/>
  <oleObjects>
    <mc:AlternateContent xmlns:mc="http://schemas.openxmlformats.org/markup-compatibility/2006">
      <mc:Choice Requires="x14">
        <oleObject shapeId="31814" r:id="rId4">
          <objectPr defaultSize="0" autoPict="0" r:id="rId5">
            <anchor moveWithCells="1">
              <from>
                <xdr:col>1</xdr:col>
                <xdr:colOff>28575</xdr:colOff>
                <xdr:row>4</xdr:row>
                <xdr:rowOff>28575</xdr:rowOff>
              </from>
              <to>
                <xdr:col>2</xdr:col>
                <xdr:colOff>1104900</xdr:colOff>
                <xdr:row>5</xdr:row>
                <xdr:rowOff>190500</xdr:rowOff>
              </to>
            </anchor>
          </objectPr>
        </oleObject>
      </mc:Choice>
      <mc:Fallback>
        <oleObject shapeId="31814"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6">
    <outlinePr summaryBelow="0"/>
  </sheetPr>
  <dimension ref="A1:BB55"/>
  <sheetViews>
    <sheetView showGridLines="0" topLeftCell="C4" zoomScale="80" zoomScaleNormal="80" zoomScaleSheetLayoutView="85" workbookViewId="0">
      <pane xSplit="4" ySplit="9" topLeftCell="G43" activePane="bottomRight" state="frozen"/>
      <selection activeCell="A14" sqref="A14:X14"/>
      <selection pane="topRight" activeCell="A14" sqref="A14:X14"/>
      <selection pane="bottomLeft" activeCell="A14" sqref="A14:X14"/>
      <selection pane="bottomRight" activeCell="D5" sqref="D5"/>
    </sheetView>
  </sheetViews>
  <sheetFormatPr defaultRowHeight="12.75" x14ac:dyDescent="0.2"/>
  <cols>
    <col min="1" max="1" width="9.140625" style="77" hidden="1" customWidth="1"/>
    <col min="2" max="2" width="10.85546875" style="77" hidden="1" customWidth="1"/>
    <col min="3" max="3" width="6.5703125" style="77" customWidth="1"/>
    <col min="4" max="4" width="44.7109375" style="77" customWidth="1"/>
    <col min="5" max="5" width="16.42578125" style="106" customWidth="1"/>
    <col min="6" max="6" width="16.5703125" style="77" bestFit="1" customWidth="1"/>
    <col min="7" max="43" width="14.28515625" style="77" customWidth="1"/>
    <col min="44" max="46" width="14.28515625" style="101" customWidth="1"/>
    <col min="47" max="48" width="9.140625" style="101"/>
    <col min="49" max="49" width="12.7109375" style="101" customWidth="1"/>
    <col min="50" max="50" width="30.7109375" style="101" customWidth="1"/>
    <col min="51" max="51" width="16.7109375" style="102" customWidth="1"/>
    <col min="52" max="53" width="14.7109375" style="101" customWidth="1"/>
    <col min="54" max="54" width="15.7109375" style="101" customWidth="1"/>
    <col min="55" max="16384" width="9.140625" style="77"/>
  </cols>
  <sheetData>
    <row r="1" spans="1:54" customFormat="1" ht="14.25" hidden="1" x14ac:dyDescent="0.2">
      <c r="A1" s="108" t="e">
        <f ca="1">OFFSET(A1,-2,0)+1</f>
        <v>#REF!</v>
      </c>
      <c r="B1" s="108" t="e">
        <f ca="1">MATCH(A1,OFFSET(PO!$W$15,0,0,PO!$J$15),0)-1</f>
        <v>#REF!</v>
      </c>
      <c r="C1" s="365" t="str">
        <f ca="1">IF(ISERROR($B1),"",OFFSET(PO!$L$15,$B1,0))</f>
        <v/>
      </c>
      <c r="D1" s="371" t="str">
        <f ca="1">IF(ISERROR($B1),"",OFFSET(PO!$L$15,$B1,3))</f>
        <v/>
      </c>
      <c r="E1" s="366">
        <f ca="1">IF(ISERROR($B1),0,OFFSET(PO!$L$15,$B1,9))</f>
        <v>0</v>
      </c>
      <c r="F1" s="109" t="s">
        <v>7</v>
      </c>
      <c r="G1" s="121">
        <f ca="1">G2</f>
        <v>0</v>
      </c>
      <c r="H1" s="121" t="str">
        <f ca="1">IF(MAX($G2:$AT2)=0,"",IF(MATCH(MAX($G2:$AT2),$G2:$AT2,0)&lt;COUNTA($G$12:H$12),"",MAX($G2:H2)-MAX($G2:G2)))</f>
        <v/>
      </c>
      <c r="I1" s="121" t="str">
        <f ca="1">IF(MAX($G2:$AT2)=0,"",IF(MATCH(MAX($G2:$AT2),$G2:$AT2,0)&lt;COUNTA($G$12:I$12),"",MAX($G2:I2)-MAX($G2:H2)))</f>
        <v/>
      </c>
      <c r="J1" s="121" t="str">
        <f ca="1">IF(MAX($G2:$AT2)=0,"",IF(MATCH(MAX($G2:$AT2),$G2:$AT2,0)&lt;COUNTA($G$12:J$12),"",MAX($G2:J2)-MAX($G2:I2)))</f>
        <v/>
      </c>
      <c r="K1" s="121" t="str">
        <f ca="1">IF(MAX($G2:$AT2)=0,"",IF(MATCH(MAX($G2:$AT2),$G2:$AT2,0)&lt;COUNTA($G$12:K$12),"",MAX($G2:K2)-MAX($G2:J2)))</f>
        <v/>
      </c>
      <c r="L1" s="121" t="str">
        <f ca="1">IF(MAX($G2:$AT2)=0,"",IF(MATCH(MAX($G2:$AT2),$G2:$AT2,0)&lt;COUNTA($G$12:L$12),"",MAX($G2:L2)-MAX($G2:K2)))</f>
        <v/>
      </c>
      <c r="M1" s="121" t="str">
        <f ca="1">IF(MAX($G2:$AT2)=0,"",IF(MATCH(MAX($G2:$AT2),$G2:$AT2,0)&lt;COUNTA($G$12:M$12),"",MAX($G2:M2)-MAX($G2:L2)))</f>
        <v/>
      </c>
      <c r="N1" s="121" t="str">
        <f ca="1">IF(MAX($G2:$AT2)=0,"",IF(MATCH(MAX($G2:$AT2),$G2:$AT2,0)&lt;COUNTA($G$12:N$12),"",MAX($G2:N2)-MAX($G2:M2)))</f>
        <v/>
      </c>
      <c r="O1" s="121" t="str">
        <f ca="1">IF(MAX($G2:$AT2)=0,"",IF(MATCH(MAX($G2:$AT2),$G2:$AT2,0)&lt;COUNTA($G$12:O$12),"",MAX($G2:O2)-MAX($G2:N2)))</f>
        <v/>
      </c>
      <c r="P1" s="121" t="str">
        <f ca="1">IF(MAX($G2:$AT2)=0,"",IF(MATCH(MAX($G2:$AT2),$G2:$AT2,0)&lt;COUNTA($G$12:P$12),"",MAX($G2:P2)-MAX($G2:O2)))</f>
        <v/>
      </c>
      <c r="Q1" s="121" t="str">
        <f ca="1">IF(MAX($G2:$AT2)=0,"",IF(MATCH(MAX($G2:$AT2),$G2:$AT2,0)&lt;COUNTA($G$12:Q$12),"",MAX($G2:Q2)-MAX($G2:P2)))</f>
        <v/>
      </c>
      <c r="R1" s="121" t="str">
        <f ca="1">IF(MAX($G2:$AT2)=0,"",IF(MATCH(MAX($G2:$AT2),$G2:$AT2,0)&lt;COUNTA($G$12:R$12),"",MAX($G2:R2)-MAX($G2:Q2)))</f>
        <v/>
      </c>
      <c r="S1" s="121" t="str">
        <f ca="1">IF(MAX($G2:$AT2)=0,"",IF(MATCH(MAX($G2:$AT2),$G2:$AT2,0)&lt;COUNTA($G$12:S$12),"",MAX($G2:S2)-MAX($G2:R2)))</f>
        <v/>
      </c>
      <c r="T1" s="121" t="str">
        <f ca="1">IF(MAX($G2:$AT2)=0,"",IF(MATCH(MAX($G2:$AT2),$G2:$AT2,0)&lt;COUNTA($G$12:T$12),"",MAX($G2:T2)-MAX($G2:S2)))</f>
        <v/>
      </c>
      <c r="U1" s="121" t="str">
        <f ca="1">IF(MAX($G2:$AT2)=0,"",IF(MATCH(MAX($G2:$AT2),$G2:$AT2,0)&lt;COUNTA($G$12:U$12),"",MAX($G2:U2)-MAX($G2:T2)))</f>
        <v/>
      </c>
      <c r="V1" s="121" t="str">
        <f ca="1">IF(MAX($G2:$AT2)=0,"",IF(MATCH(MAX($G2:$AT2),$G2:$AT2,0)&lt;COUNTA($G$12:V$12),"",MAX($G2:V2)-MAX($G2:U2)))</f>
        <v/>
      </c>
      <c r="W1" s="121" t="str">
        <f ca="1">IF(MAX($G2:$AT2)=0,"",IF(MATCH(MAX($G2:$AT2),$G2:$AT2,0)&lt;COUNTA($G$12:W$12),"",MAX($G2:W2)-MAX($G2:V2)))</f>
        <v/>
      </c>
      <c r="X1" s="121" t="str">
        <f ca="1">IF(MAX($G2:$AT2)=0,"",IF(MATCH(MAX($G2:$AT2),$G2:$AT2,0)&lt;COUNTA($G$12:X$12),"",MAX($G2:X2)-MAX($G2:W2)))</f>
        <v/>
      </c>
      <c r="Y1" s="121" t="str">
        <f ca="1">IF(MAX($G2:$AT2)=0,"",IF(MATCH(MAX($G2:$AT2),$G2:$AT2,0)&lt;COUNTA($G$12:Y$12),"",MAX($G2:Y2)-MAX($G2:X2)))</f>
        <v/>
      </c>
      <c r="Z1" s="121" t="str">
        <f ca="1">IF(MAX($G2:$AT2)=0,"",IF(MATCH(MAX($G2:$AT2),$G2:$AT2,0)&lt;COUNTA($G$12:Z$12),"",MAX($G2:Z2)-MAX($G2:Y2)))</f>
        <v/>
      </c>
      <c r="AA1" s="121" t="str">
        <f ca="1">IF(MAX($G2:$AT2)=0,"",IF(MATCH(MAX($G2:$AT2),$G2:$AT2,0)&lt;COUNTA($G$12:AA$12),"",MAX($G2:AA2)-MAX($G2:Z2)))</f>
        <v/>
      </c>
      <c r="AB1" s="121" t="str">
        <f ca="1">IF(MAX($G2:$AT2)=0,"",IF(MATCH(MAX($G2:$AT2),$G2:$AT2,0)&lt;COUNTA($G$12:AB$12),"",MAX($G2:AB2)-MAX($G2:AA2)))</f>
        <v/>
      </c>
      <c r="AC1" s="121" t="str">
        <f ca="1">IF(MAX($G2:$AT2)=0,"",IF(MATCH(MAX($G2:$AT2),$G2:$AT2,0)&lt;COUNTA($G$12:AC$12),"",MAX($G2:AC2)-MAX($G2:AB2)))</f>
        <v/>
      </c>
      <c r="AD1" s="121" t="str">
        <f ca="1">IF(MAX($G2:$AT2)=0,"",IF(MATCH(MAX($G2:$AT2),$G2:$AT2,0)&lt;COUNTA($G$12:AD$12),"",MAX($G2:AD2)-MAX($G2:AC2)))</f>
        <v/>
      </c>
      <c r="AE1" s="121" t="str">
        <f ca="1">IF(MAX($G2:$AT2)=0,"",IF(MATCH(MAX($G2:$AT2),$G2:$AT2,0)&lt;COUNTA($G$12:AE$12),"",MAX($G2:AE2)-MAX($G2:AD2)))</f>
        <v/>
      </c>
      <c r="AF1" s="121" t="str">
        <f ca="1">IF(MAX($G2:$AT2)=0,"",IF(MATCH(MAX($G2:$AT2),$G2:$AT2,0)&lt;COUNTA($G$12:AF$12),"",MAX($G2:AF2)-MAX($G2:AE2)))</f>
        <v/>
      </c>
      <c r="AG1" s="121" t="str">
        <f ca="1">IF(MAX($G2:$AT2)=0,"",IF(MATCH(MAX($G2:$AT2),$G2:$AT2,0)&lt;COUNTA($G$12:AG$12),"",MAX($G2:AG2)-MAX($G2:AF2)))</f>
        <v/>
      </c>
      <c r="AH1" s="121" t="str">
        <f ca="1">IF(MAX($G2:$AT2)=0,"",IF(MATCH(MAX($G2:$AT2),$G2:$AT2,0)&lt;COUNTA($G$12:AH$12),"",MAX($G2:AH2)-MAX($G2:AG2)))</f>
        <v/>
      </c>
      <c r="AI1" s="121" t="str">
        <f ca="1">IF(MAX($G2:$AT2)=0,"",IF(MATCH(MAX($G2:$AT2),$G2:$AT2,0)&lt;COUNTA($G$12:AI$12),"",MAX($G2:AI2)-MAX($G2:AH2)))</f>
        <v/>
      </c>
      <c r="AJ1" s="121" t="str">
        <f ca="1">IF(MAX($G2:$AT2)=0,"",IF(MATCH(MAX($G2:$AT2),$G2:$AT2,0)&lt;COUNTA($G$12:AJ$12),"",MAX($G2:AJ2)-MAX($G2:AI2)))</f>
        <v/>
      </c>
      <c r="AK1" s="121" t="str">
        <f ca="1">IF(MAX($G2:$AT2)=0,"",IF(MATCH(MAX($G2:$AT2),$G2:$AT2,0)&lt;COUNTA($G$12:AK$12),"",MAX($G2:AK2)-MAX($G2:AJ2)))</f>
        <v/>
      </c>
      <c r="AL1" s="121" t="str">
        <f ca="1">IF(MAX($G2:$AT2)=0,"",IF(MATCH(MAX($G2:$AT2),$G2:$AT2,0)&lt;COUNTA($G$12:AL$12),"",MAX($G2:AL2)-MAX($G2:AK2)))</f>
        <v/>
      </c>
      <c r="AM1" s="121" t="str">
        <f ca="1">IF(MAX($G2:$AT2)=0,"",IF(MATCH(MAX($G2:$AT2),$G2:$AT2,0)&lt;COUNTA($G$12:AM$12),"",MAX($G2:AM2)-MAX($G2:AL2)))</f>
        <v/>
      </c>
      <c r="AN1" s="121" t="str">
        <f ca="1">IF(MAX($G2:$AT2)=0,"",IF(MATCH(MAX($G2:$AT2),$G2:$AT2,0)&lt;COUNTA($G$12:AN$12),"",MAX($G2:AN2)-MAX($G2:AM2)))</f>
        <v/>
      </c>
      <c r="AO1" s="121" t="str">
        <f ca="1">IF(MAX($G2:$AT2)=0,"",IF(MATCH(MAX($G2:$AT2),$G2:$AT2,0)&lt;COUNTA($G$12:AO$12),"",MAX($G2:AO2)-MAX($G2:AN2)))</f>
        <v/>
      </c>
      <c r="AP1" s="121" t="str">
        <f ca="1">IF(MAX($G2:$AT2)=0,"",IF(MATCH(MAX($G2:$AT2),$G2:$AT2,0)&lt;COUNTA($G$12:AP$12),"",MAX($G2:AP2)-MAX($G2:AO2)))</f>
        <v/>
      </c>
      <c r="AQ1" s="121" t="str">
        <f ca="1">IF(MAX($G2:$AT2)=0,"",IF(MATCH(MAX($G2:$AT2),$G2:$AT2,0)&lt;COUNTA($G$12:AQ$12),"",MAX($G2:AQ2)-MAX($G2:AP2)))</f>
        <v/>
      </c>
      <c r="AR1" s="121" t="str">
        <f ca="1">IF(MAX($G2:$AT2)=0,"",IF(MATCH(MAX($G2:$AT2),$G2:$AT2,0)&lt;COUNTA($G$12:AR$12),"",MAX($G2:AR2)-MAX($G2:AQ2)))</f>
        <v/>
      </c>
      <c r="AS1" s="121" t="str">
        <f ca="1">IF(MAX($G2:$AT2)=0,"",IF(MATCH(MAX($G2:$AT2),$G2:$AT2,0)&lt;COUNTA($G$12:AS$12),"",MAX($G2:AS2)-MAX($G2:AR2)))</f>
        <v/>
      </c>
      <c r="AT1" s="122" t="str">
        <f ca="1">IF(MAX($G2:$AT2)=0,"",IF(MATCH(MAX($G2:$AT2),$G2:$AT2,0)&lt;COUNTA($G$12:AT$12),"",MAX($G2:AT2)-MAX($G2:AS2)))</f>
        <v/>
      </c>
    </row>
    <row r="2" spans="1:54" customFormat="1" ht="14.25" hidden="1" x14ac:dyDescent="0.2">
      <c r="A2" s="108"/>
      <c r="B2" s="108"/>
      <c r="C2" s="361"/>
      <c r="D2" s="359"/>
      <c r="E2" s="367"/>
      <c r="F2" s="111" t="s">
        <v>9</v>
      </c>
      <c r="G2" s="112">
        <f ca="1">IF(ISNUMBER(VALUE($C1)),SUMPRODUCT(OFFSET(G2,2,0,COUNTIF($C$13:$C$42,$C1&amp;".*")*2-1),OFFSET($E1,2,0,COUNTIF($C$13:$C$42,$C1&amp;".*")*2-1))/$E1,0)</f>
        <v>0</v>
      </c>
      <c r="H2" s="112">
        <f t="shared" ref="H2:AT2" ca="1" si="0">IF(ISNUMBER(VALUE($C1)),SUMPRODUCT(OFFSET(H2,2,0,COUNTIF($C$13:$C$42,$C1&amp;".*")*2-1),OFFSET($E1,2,0,COUNTIF($C$13:$C$42,$C1&amp;".*")*2-1))/$E1,G2)</f>
        <v>0</v>
      </c>
      <c r="I2" s="112">
        <f t="shared" ca="1" si="0"/>
        <v>0</v>
      </c>
      <c r="J2" s="112">
        <f t="shared" ca="1" si="0"/>
        <v>0</v>
      </c>
      <c r="K2" s="112">
        <f t="shared" ca="1" si="0"/>
        <v>0</v>
      </c>
      <c r="L2" s="112">
        <f t="shared" ca="1" si="0"/>
        <v>0</v>
      </c>
      <c r="M2" s="112">
        <f t="shared" ca="1" si="0"/>
        <v>0</v>
      </c>
      <c r="N2" s="112">
        <f t="shared" ca="1" si="0"/>
        <v>0</v>
      </c>
      <c r="O2" s="112">
        <f t="shared" ca="1" si="0"/>
        <v>0</v>
      </c>
      <c r="P2" s="112">
        <f t="shared" ca="1" si="0"/>
        <v>0</v>
      </c>
      <c r="Q2" s="112">
        <f t="shared" ca="1" si="0"/>
        <v>0</v>
      </c>
      <c r="R2" s="112">
        <f t="shared" ca="1" si="0"/>
        <v>0</v>
      </c>
      <c r="S2" s="112">
        <f t="shared" ca="1" si="0"/>
        <v>0</v>
      </c>
      <c r="T2" s="112">
        <f t="shared" ca="1" si="0"/>
        <v>0</v>
      </c>
      <c r="U2" s="112">
        <f t="shared" ca="1" si="0"/>
        <v>0</v>
      </c>
      <c r="V2" s="112">
        <f t="shared" ca="1" si="0"/>
        <v>0</v>
      </c>
      <c r="W2" s="112">
        <f t="shared" ca="1" si="0"/>
        <v>0</v>
      </c>
      <c r="X2" s="112">
        <f t="shared" ca="1" si="0"/>
        <v>0</v>
      </c>
      <c r="Y2" s="112">
        <f t="shared" ca="1" si="0"/>
        <v>0</v>
      </c>
      <c r="Z2" s="112">
        <f t="shared" ca="1" si="0"/>
        <v>0</v>
      </c>
      <c r="AA2" s="112">
        <f t="shared" ca="1" si="0"/>
        <v>0</v>
      </c>
      <c r="AB2" s="112">
        <f t="shared" ca="1" si="0"/>
        <v>0</v>
      </c>
      <c r="AC2" s="112">
        <f t="shared" ca="1" si="0"/>
        <v>0</v>
      </c>
      <c r="AD2" s="112">
        <f t="shared" ca="1" si="0"/>
        <v>0</v>
      </c>
      <c r="AE2" s="112">
        <f t="shared" ca="1" si="0"/>
        <v>0</v>
      </c>
      <c r="AF2" s="112">
        <f t="shared" ca="1" si="0"/>
        <v>0</v>
      </c>
      <c r="AG2" s="112">
        <f t="shared" ca="1" si="0"/>
        <v>0</v>
      </c>
      <c r="AH2" s="112">
        <f t="shared" ca="1" si="0"/>
        <v>0</v>
      </c>
      <c r="AI2" s="112">
        <f t="shared" ca="1" si="0"/>
        <v>0</v>
      </c>
      <c r="AJ2" s="112">
        <f t="shared" ca="1" si="0"/>
        <v>0</v>
      </c>
      <c r="AK2" s="112">
        <f t="shared" ca="1" si="0"/>
        <v>0</v>
      </c>
      <c r="AL2" s="112">
        <f t="shared" ca="1" si="0"/>
        <v>0</v>
      </c>
      <c r="AM2" s="112">
        <f t="shared" ca="1" si="0"/>
        <v>0</v>
      </c>
      <c r="AN2" s="112">
        <f t="shared" ca="1" si="0"/>
        <v>0</v>
      </c>
      <c r="AO2" s="112">
        <f t="shared" ca="1" si="0"/>
        <v>0</v>
      </c>
      <c r="AP2" s="112">
        <f t="shared" ca="1" si="0"/>
        <v>0</v>
      </c>
      <c r="AQ2" s="112">
        <f t="shared" ca="1" si="0"/>
        <v>0</v>
      </c>
      <c r="AR2" s="112">
        <f t="shared" ca="1" si="0"/>
        <v>0</v>
      </c>
      <c r="AS2" s="112">
        <f t="shared" ca="1" si="0"/>
        <v>0</v>
      </c>
      <c r="AT2" s="113">
        <f t="shared" ca="1" si="0"/>
        <v>0</v>
      </c>
    </row>
    <row r="3" spans="1:54" hidden="1" x14ac:dyDescent="0.2"/>
    <row r="4" spans="1:54" s="72" customFormat="1" ht="12.95" customHeight="1" x14ac:dyDescent="0.2">
      <c r="A4" s="69"/>
      <c r="B4" s="70"/>
      <c r="C4" s="69"/>
      <c r="D4" s="69"/>
      <c r="E4" s="69"/>
      <c r="F4" s="69"/>
      <c r="G4" s="69"/>
      <c r="H4" s="71"/>
      <c r="I4" s="69"/>
      <c r="J4" s="69"/>
      <c r="K4" s="69"/>
      <c r="N4" s="73" t="s">
        <v>35</v>
      </c>
      <c r="V4" s="73" t="s">
        <v>35</v>
      </c>
      <c r="AD4" s="73" t="s">
        <v>35</v>
      </c>
      <c r="AL4" s="73" t="s">
        <v>35</v>
      </c>
      <c r="AT4" s="73" t="s">
        <v>35</v>
      </c>
    </row>
    <row r="5" spans="1:54" s="72" customFormat="1" ht="12.75" customHeight="1" x14ac:dyDescent="0.2">
      <c r="F5" s="74" t="s">
        <v>162</v>
      </c>
      <c r="G5" s="75" t="s">
        <v>326</v>
      </c>
      <c r="M5" s="75"/>
      <c r="N5" s="76" t="s">
        <v>36</v>
      </c>
      <c r="O5" s="75" t="s">
        <v>163</v>
      </c>
      <c r="V5" s="76" t="s">
        <v>36</v>
      </c>
      <c r="W5" s="75" t="s">
        <v>163</v>
      </c>
      <c r="AD5" s="76" t="s">
        <v>36</v>
      </c>
      <c r="AE5" s="75" t="s">
        <v>163</v>
      </c>
      <c r="AL5" s="76" t="s">
        <v>36</v>
      </c>
      <c r="AM5" s="75" t="s">
        <v>163</v>
      </c>
      <c r="AT5" s="76" t="s">
        <v>36</v>
      </c>
    </row>
    <row r="6" spans="1:54" s="72" customFormat="1" ht="12.75" customHeight="1" x14ac:dyDescent="0.2">
      <c r="J6" s="77"/>
    </row>
    <row r="7" spans="1:54" s="72" customFormat="1" ht="24.95" customHeight="1" x14ac:dyDescent="0.2"/>
    <row r="8" spans="1:54" s="72" customFormat="1" ht="24.95" customHeight="1" x14ac:dyDescent="0.2"/>
    <row r="9" spans="1:54" s="72" customFormat="1" ht="24.95" customHeight="1" x14ac:dyDescent="0.2"/>
    <row r="10" spans="1:54" s="72" customFormat="1" ht="21.75" customHeight="1" x14ac:dyDescent="0.2">
      <c r="A10" s="72">
        <f ca="1">CFF.qtde.itens.atual</f>
        <v>13</v>
      </c>
    </row>
    <row r="11" spans="1:54" s="72" customFormat="1" ht="9" customHeight="1" x14ac:dyDescent="0.2">
      <c r="C11" s="77"/>
      <c r="D11" s="77"/>
      <c r="E11" s="77"/>
      <c r="F11" s="77"/>
    </row>
    <row r="12" spans="1:54" s="79" customFormat="1" ht="30" customHeight="1" x14ac:dyDescent="0.2">
      <c r="A12" s="78">
        <f ca="1">MAX(A13:A42)</f>
        <v>13</v>
      </c>
      <c r="B12" s="79" t="s">
        <v>159</v>
      </c>
      <c r="C12" s="80" t="s">
        <v>13</v>
      </c>
      <c r="D12" s="81" t="s">
        <v>164</v>
      </c>
      <c r="E12" s="82" t="s">
        <v>0</v>
      </c>
      <c r="F12" s="123" t="str">
        <f>"Início de Obra"&amp;CHAR(10)&amp;TEXT(DADOS!A46,"dd/mm/aaaa")</f>
        <v>Início de Obra
00/01/1900</v>
      </c>
      <c r="G12" s="81" t="str">
        <f>"Parcela "&amp;COLUMN(G12)-COLUMN($F$12)&amp;CHAR(10)&amp;TEXT(DADOS!$A$46+(COLUMN(G12)-COLUMN($F$12))*30,"mmm/aaaa")</f>
        <v>Parcela 1
jan/1900</v>
      </c>
      <c r="H12" s="81" t="str">
        <f>"Parcela "&amp;COLUMN(H12)-COLUMN($F$12)&amp;CHAR(10)&amp;TEXT(DADOS!$A$46+(COLUMN(H12)-COLUMN($F$12))*30,"mmm/aaaa")</f>
        <v>Parcela 2
fev/1900</v>
      </c>
      <c r="I12" s="81" t="str">
        <f>"Parcela "&amp;COLUMN(I12)-COLUMN($F$12)&amp;CHAR(10)&amp;TEXT(DADOS!$A$46+(COLUMN(I12)-COLUMN($F$12))*30,"mmm/aaaa")</f>
        <v>Parcela 3
mar/1900</v>
      </c>
      <c r="J12" s="81" t="str">
        <f>"Parcela "&amp;COLUMN(J12)-COLUMN($F$12)&amp;CHAR(10)&amp;TEXT(DADOS!$A$46+(COLUMN(J12)-COLUMN($F$12))*30,"mmm/aaaa")</f>
        <v>Parcela 4
abr/1900</v>
      </c>
      <c r="K12" s="81" t="str">
        <f>"Parcela "&amp;COLUMN(K12)-COLUMN($F$12)&amp;CHAR(10)&amp;TEXT(DADOS!$A$46+(COLUMN(K12)-COLUMN($F$12))*30,"mmm/aaaa")</f>
        <v>Parcela 5
mai/1900</v>
      </c>
      <c r="L12" s="81" t="str">
        <f>"Parcela "&amp;COLUMN(L12)-COLUMN($F$12)&amp;CHAR(10)&amp;TEXT(DADOS!$A$46+(COLUMN(L12)-COLUMN($F$12))*30,"mmm/aaaa")</f>
        <v>Parcela 6
jun/1900</v>
      </c>
      <c r="M12" s="81" t="str">
        <f>"Parcela "&amp;COLUMN(M12)-COLUMN($F$12)&amp;CHAR(10)&amp;TEXT(DADOS!$A$46+(COLUMN(M12)-COLUMN($F$12))*30,"mmm/aaaa")</f>
        <v>Parcela 7
jul/1900</v>
      </c>
      <c r="N12" s="81" t="str">
        <f>"Parcela "&amp;COLUMN(N12)-COLUMN($F$12)&amp;CHAR(10)&amp;TEXT(DADOS!$A$46+(COLUMN(N12)-COLUMN($F$12))*30,"mmm/aaaa")</f>
        <v>Parcela 8
ago/1900</v>
      </c>
      <c r="O12" s="81" t="str">
        <f>"Parcela "&amp;COLUMN(O12)-COLUMN($F$12)&amp;CHAR(10)&amp;TEXT(DADOS!$A$46+(COLUMN(O12)-COLUMN($F$12))*30,"mmm/aaaa")</f>
        <v>Parcela 9
set/1900</v>
      </c>
      <c r="P12" s="81" t="str">
        <f>"Parcela "&amp;COLUMN(P12)-COLUMN($F$12)&amp;CHAR(10)&amp;TEXT(DADOS!$A$46+(COLUMN(P12)-COLUMN($F$12))*30,"mmm/aaaa")</f>
        <v>Parcela 10
out/1900</v>
      </c>
      <c r="Q12" s="81" t="str">
        <f>"Parcela "&amp;COLUMN(Q12)-COLUMN($F$12)&amp;CHAR(10)&amp;TEXT(DADOS!$A$46+(COLUMN(Q12)-COLUMN($F$12))*30,"mmm/aaaa")</f>
        <v>Parcela 11
nov/1900</v>
      </c>
      <c r="R12" s="81" t="str">
        <f>"Parcela "&amp;COLUMN(R12)-COLUMN($F$12)&amp;CHAR(10)&amp;TEXT(DADOS!$A$46+(COLUMN(R12)-COLUMN($F$12))*30,"mmm/aaaa")</f>
        <v>Parcela 12
dez/1900</v>
      </c>
      <c r="S12" s="81" t="str">
        <f>"Parcela "&amp;COLUMN(S12)-COLUMN($F$12)&amp;CHAR(10)&amp;TEXT(DADOS!$A$46+(COLUMN(S12)-COLUMN($F$12))*30,"mmm/aaaa")</f>
        <v>Parcela 13
jan/1901</v>
      </c>
      <c r="T12" s="81" t="str">
        <f>"Parcela "&amp;COLUMN(T12)-COLUMN($F$12)&amp;CHAR(10)&amp;TEXT(DADOS!$A$46+(COLUMN(T12)-COLUMN($F$12))*30,"mmm/aaaa")</f>
        <v>Parcela 14
fev/1901</v>
      </c>
      <c r="U12" s="81" t="str">
        <f>"Parcela "&amp;COLUMN(U12)-COLUMN($F$12)&amp;CHAR(10)&amp;TEXT(DADOS!$A$46+(COLUMN(U12)-COLUMN($F$12))*30,"mmm/aaaa")</f>
        <v>Parcela 15
mar/1901</v>
      </c>
      <c r="V12" s="81" t="str">
        <f>"Parcela "&amp;COLUMN(V12)-COLUMN($F$12)&amp;CHAR(10)&amp;TEXT(DADOS!$A$46+(COLUMN(V12)-COLUMN($F$12))*30,"mmm/aaaa")</f>
        <v>Parcela 16
abr/1901</v>
      </c>
      <c r="W12" s="81" t="str">
        <f>"Parcela "&amp;COLUMN(W12)-COLUMN($F$12)&amp;CHAR(10)&amp;TEXT(DADOS!$A$46+(COLUMN(W12)-COLUMN($F$12))*30,"mmm/aaaa")</f>
        <v>Parcela 17
mai/1901</v>
      </c>
      <c r="X12" s="81" t="str">
        <f>"Parcela "&amp;COLUMN(X12)-COLUMN($F$12)&amp;CHAR(10)&amp;TEXT(DADOS!$A$46+(COLUMN(X12)-COLUMN($F$12))*30,"mmm/aaaa")</f>
        <v>Parcela 18
jun/1901</v>
      </c>
      <c r="Y12" s="81" t="str">
        <f>"Parcela "&amp;COLUMN(Y12)-COLUMN($F$12)&amp;CHAR(10)&amp;TEXT(DADOS!$A$46+(COLUMN(Y12)-COLUMN($F$12))*30,"mmm/aaaa")</f>
        <v>Parcela 19
jul/1901</v>
      </c>
      <c r="Z12" s="81" t="str">
        <f>"Parcela "&amp;COLUMN(Z12)-COLUMN($F$12)&amp;CHAR(10)&amp;TEXT(DADOS!$A$46+(COLUMN(Z12)-COLUMN($F$12))*30,"mmm/aaaa")</f>
        <v>Parcela 20
ago/1901</v>
      </c>
      <c r="AA12" s="81" t="str">
        <f>"Parcela "&amp;COLUMN(AA12)-COLUMN($F$12)&amp;CHAR(10)&amp;TEXT(DADOS!$A$46+(COLUMN(AA12)-COLUMN($F$12))*30,"mmm/aaaa")</f>
        <v>Parcela 21
set/1901</v>
      </c>
      <c r="AB12" s="81" t="str">
        <f>"Parcela "&amp;COLUMN(AB12)-COLUMN($F$12)&amp;CHAR(10)&amp;TEXT(DADOS!$A$46+(COLUMN(AB12)-COLUMN($F$12))*30,"mmm/aaaa")</f>
        <v>Parcela 22
out/1901</v>
      </c>
      <c r="AC12" s="81" t="str">
        <f>"Parcela "&amp;COLUMN(AC12)-COLUMN($F$12)&amp;CHAR(10)&amp;TEXT(DADOS!$A$46+(COLUMN(AC12)-COLUMN($F$12))*30,"mmm/aaaa")</f>
        <v>Parcela 23
nov/1901</v>
      </c>
      <c r="AD12" s="81" t="str">
        <f>"Parcela "&amp;COLUMN(AD12)-COLUMN($F$12)&amp;CHAR(10)&amp;TEXT(DADOS!$A$46+(COLUMN(AD12)-COLUMN($F$12))*30,"mmm/aaaa")</f>
        <v>Parcela 24
dez/1901</v>
      </c>
      <c r="AE12" s="81" t="str">
        <f>"Parcela "&amp;COLUMN(AE12)-COLUMN($F$12)&amp;CHAR(10)&amp;TEXT(DADOS!$A$46+(COLUMN(AE12)-COLUMN($F$12))*30,"mmm/aaaa")</f>
        <v>Parcela 25
jan/1902</v>
      </c>
      <c r="AF12" s="81" t="str">
        <f>"Parcela "&amp;COLUMN(AF12)-COLUMN($F$12)&amp;CHAR(10)&amp;TEXT(DADOS!$A$46+(COLUMN(AF12)-COLUMN($F$12))*30,"mmm/aaaa")</f>
        <v>Parcela 26
fev/1902</v>
      </c>
      <c r="AG12" s="81" t="str">
        <f>"Parcela "&amp;COLUMN(AG12)-COLUMN($F$12)&amp;CHAR(10)&amp;TEXT(DADOS!$A$46+(COLUMN(AG12)-COLUMN($F$12))*30,"mmm/aaaa")</f>
        <v>Parcela 27
mar/1902</v>
      </c>
      <c r="AH12" s="81" t="str">
        <f>"Parcela "&amp;COLUMN(AH12)-COLUMN($F$12)&amp;CHAR(10)&amp;TEXT(DADOS!$A$46+(COLUMN(AH12)-COLUMN($F$12))*30,"mmm/aaaa")</f>
        <v>Parcela 28
abr/1902</v>
      </c>
      <c r="AI12" s="81" t="str">
        <f>"Parcela "&amp;COLUMN(AI12)-COLUMN($F$12)&amp;CHAR(10)&amp;TEXT(DADOS!$A$46+(COLUMN(AI12)-COLUMN($F$12))*30,"mmm/aaaa")</f>
        <v>Parcela 29
mai/1902</v>
      </c>
      <c r="AJ12" s="81" t="str">
        <f>"Parcela "&amp;COLUMN(AJ12)-COLUMN($F$12)&amp;CHAR(10)&amp;TEXT(DADOS!$A$46+(COLUMN(AJ12)-COLUMN($F$12))*30,"mmm/aaaa")</f>
        <v>Parcela 30
jun/1902</v>
      </c>
      <c r="AK12" s="81" t="str">
        <f>"Parcela "&amp;COLUMN(AK12)-COLUMN($F$12)&amp;CHAR(10)&amp;TEXT(DADOS!$A$46+(COLUMN(AK12)-COLUMN($F$12))*30,"mmm/aaaa")</f>
        <v>Parcela 31
jul/1902</v>
      </c>
      <c r="AL12" s="81" t="str">
        <f>"Parcela "&amp;COLUMN(AL12)-COLUMN($F$12)&amp;CHAR(10)&amp;TEXT(DADOS!$A$46+(COLUMN(AL12)-COLUMN($F$12))*30,"mmm/aaaa")</f>
        <v>Parcela 32
ago/1902</v>
      </c>
      <c r="AM12" s="81" t="str">
        <f>"Parcela "&amp;COLUMN(AM12)-COLUMN($F$12)&amp;CHAR(10)&amp;TEXT(DADOS!$A$46+(COLUMN(AM12)-COLUMN($F$12))*30,"mmm/aaaa")</f>
        <v>Parcela 33
set/1902</v>
      </c>
      <c r="AN12" s="81" t="str">
        <f>"Parcela "&amp;COLUMN(AN12)-COLUMN($F$12)&amp;CHAR(10)&amp;TEXT(DADOS!$A$46+(COLUMN(AN12)-COLUMN($F$12))*30,"mmm/aaaa")</f>
        <v>Parcela 34
out/1902</v>
      </c>
      <c r="AO12" s="81" t="str">
        <f>"Parcela "&amp;COLUMN(AO12)-COLUMN($F$12)&amp;CHAR(10)&amp;TEXT(DADOS!$A$46+(COLUMN(AO12)-COLUMN($F$12))*30,"mmm/aaaa")</f>
        <v>Parcela 35
nov/1902</v>
      </c>
      <c r="AP12" s="81" t="str">
        <f>"Parcela "&amp;COLUMN(AP12)-COLUMN($F$12)&amp;CHAR(10)&amp;TEXT(DADOS!$A$46+(COLUMN(AP12)-COLUMN($F$12))*30,"mmm/aaaa")</f>
        <v>Parcela 36
dez/1902</v>
      </c>
      <c r="AQ12" s="81" t="str">
        <f>"Parcela "&amp;COLUMN(AQ12)-COLUMN($F$12)&amp;CHAR(10)&amp;TEXT(DADOS!$A$46+(COLUMN(AQ12)-COLUMN($F$12))*30,"mmm/aaaa")</f>
        <v>Parcela 37
jan/1903</v>
      </c>
      <c r="AR12" s="81" t="str">
        <f>"Parcela "&amp;COLUMN(AR12)-COLUMN($F$12)&amp;CHAR(10)&amp;TEXT(DADOS!$A$46+(COLUMN(AR12)-COLUMN($F$12))*30,"mmm/aaaa")</f>
        <v>Parcela 38
fev/1903</v>
      </c>
      <c r="AS12" s="81" t="str">
        <f>"Parcela "&amp;COLUMN(AS12)-COLUMN($F$12)&amp;CHAR(10)&amp;TEXT(DADOS!$A$46+(COLUMN(AS12)-COLUMN($F$12))*30,"mmm/aaaa")</f>
        <v>Parcela 39
mar/1903</v>
      </c>
      <c r="AT12" s="82" t="str">
        <f>"Parcela "&amp;COLUMN(AT12)-COLUMN($F$12)&amp;CHAR(10)&amp;TEXT(DADOS!$A$46+(COLUMN(AT12)-COLUMN($F$12))*30,"mmm/aaaa")</f>
        <v>Parcela 40
abr/1903</v>
      </c>
      <c r="AY12" s="83"/>
      <c r="AZ12" s="84"/>
      <c r="BA12" s="84"/>
      <c r="BB12" s="85"/>
    </row>
    <row r="13" spans="1:54" s="67" customFormat="1" ht="12.75" customHeight="1" x14ac:dyDescent="0.2">
      <c r="A13" s="108">
        <f ca="1">OFFSET(A13,-2,0)+1</f>
        <v>1</v>
      </c>
      <c r="B13" s="108">
        <f ca="1">MATCH(A13,OFFSET(PO!$W$15,0,0,PO!$J$15),0)-1</f>
        <v>1</v>
      </c>
      <c r="C13" s="374" t="str">
        <f ca="1">IF(ISERROR($B13),"",OFFSET(PO!$L$15,$B13,0))</f>
        <v>1</v>
      </c>
      <c r="D13" s="375" t="str">
        <f ca="1">IF(ISERROR($B13),"",OFFSET(PO!$L$15,$B13,3))</f>
        <v>(Descreva a Meta aqui)</v>
      </c>
      <c r="E13" s="373">
        <f ca="1">IF(ISERROR($B13),0,OFFSET(PO!$L$15,$B13,9))</f>
        <v>0</v>
      </c>
      <c r="F13" s="110" t="s">
        <v>7</v>
      </c>
      <c r="G13" s="115" t="e">
        <f ca="1">G14</f>
        <v>#DIV/0!</v>
      </c>
      <c r="H13" s="115" t="e">
        <f ca="1">IF(MAX($G14:$AT14)=0,"",IF(MATCH(MAX($G14:$AT14),$G14:$AT14,0)&lt;COUNTA($G$12:H$12),"",MAX($G14:H14)-MAX($G14:G14)))</f>
        <v>#DIV/0!</v>
      </c>
      <c r="I13" s="115" t="e">
        <f ca="1">IF(MAX($G14:$AT14)=0,"",IF(MATCH(MAX($G14:$AT14),$G14:$AT14,0)&lt;COUNTA($G$12:I$12),"",MAX($G14:I14)-MAX($G14:H14)))</f>
        <v>#DIV/0!</v>
      </c>
      <c r="J13" s="115" t="e">
        <f ca="1">IF(MAX($G14:$AT14)=0,"",IF(MATCH(MAX($G14:$AT14),$G14:$AT14,0)&lt;COUNTA($G$12:J$12),"",MAX($G14:J14)-MAX($G14:I14)))</f>
        <v>#DIV/0!</v>
      </c>
      <c r="K13" s="115" t="e">
        <f ca="1">IF(MAX($G14:$AT14)=0,"",IF(MATCH(MAX($G14:$AT14),$G14:$AT14,0)&lt;COUNTA($G$12:K$12),"",MAX($G14:K14)-MAX($G14:J14)))</f>
        <v>#DIV/0!</v>
      </c>
      <c r="L13" s="115" t="e">
        <f ca="1">IF(MAX($G14:$AT14)=0,"",IF(MATCH(MAX($G14:$AT14),$G14:$AT14,0)&lt;COUNTA($G$12:L$12),"",MAX($G14:L14)-MAX($G14:K14)))</f>
        <v>#DIV/0!</v>
      </c>
      <c r="M13" s="115" t="e">
        <f ca="1">IF(MAX($G14:$AT14)=0,"",IF(MATCH(MAX($G14:$AT14),$G14:$AT14,0)&lt;COUNTA($G$12:M$12),"",MAX($G14:M14)-MAX($G14:L14)))</f>
        <v>#DIV/0!</v>
      </c>
      <c r="N13" s="115" t="e">
        <f ca="1">IF(MAX($G14:$AT14)=0,"",IF(MATCH(MAX($G14:$AT14),$G14:$AT14,0)&lt;COUNTA($G$12:N$12),"",MAX($G14:N14)-MAX($G14:M14)))</f>
        <v>#DIV/0!</v>
      </c>
      <c r="O13" s="115" t="e">
        <f ca="1">IF(MAX($G14:$AT14)=0,"",IF(MATCH(MAX($G14:$AT14),$G14:$AT14,0)&lt;COUNTA($G$12:O$12),"",MAX($G14:O14)-MAX($G14:N14)))</f>
        <v>#DIV/0!</v>
      </c>
      <c r="P13" s="115" t="e">
        <f ca="1">IF(MAX($G14:$AT14)=0,"",IF(MATCH(MAX($G14:$AT14),$G14:$AT14,0)&lt;COUNTA($G$12:P$12),"",MAX($G14:P14)-MAX($G14:O14)))</f>
        <v>#DIV/0!</v>
      </c>
      <c r="Q13" s="115" t="e">
        <f ca="1">IF(MAX($G14:$AT14)=0,"",IF(MATCH(MAX($G14:$AT14),$G14:$AT14,0)&lt;COUNTA($G$12:Q$12),"",MAX($G14:Q14)-MAX($G14:P14)))</f>
        <v>#DIV/0!</v>
      </c>
      <c r="R13" s="115" t="e">
        <f ca="1">IF(MAX($G14:$AT14)=0,"",IF(MATCH(MAX($G14:$AT14),$G14:$AT14,0)&lt;COUNTA($G$12:R$12),"",MAX($G14:R14)-MAX($G14:Q14)))</f>
        <v>#DIV/0!</v>
      </c>
      <c r="S13" s="115" t="e">
        <f ca="1">IF(MAX($G14:$AT14)=0,"",IF(MATCH(MAX($G14:$AT14),$G14:$AT14,0)&lt;COUNTA($G$12:S$12),"",MAX($G14:S14)-MAX($G14:R14)))</f>
        <v>#DIV/0!</v>
      </c>
      <c r="T13" s="115" t="e">
        <f ca="1">IF(MAX($G14:$AT14)=0,"",IF(MATCH(MAX($G14:$AT14),$G14:$AT14,0)&lt;COUNTA($G$12:T$12),"",MAX($G14:T14)-MAX($G14:S14)))</f>
        <v>#DIV/0!</v>
      </c>
      <c r="U13" s="115" t="e">
        <f ca="1">IF(MAX($G14:$AT14)=0,"",IF(MATCH(MAX($G14:$AT14),$G14:$AT14,0)&lt;COUNTA($G$12:U$12),"",MAX($G14:U14)-MAX($G14:T14)))</f>
        <v>#DIV/0!</v>
      </c>
      <c r="V13" s="115" t="e">
        <f ca="1">IF(MAX($G14:$AT14)=0,"",IF(MATCH(MAX($G14:$AT14),$G14:$AT14,0)&lt;COUNTA($G$12:V$12),"",MAX($G14:V14)-MAX($G14:U14)))</f>
        <v>#DIV/0!</v>
      </c>
      <c r="W13" s="115" t="e">
        <f ca="1">IF(MAX($G14:$AT14)=0,"",IF(MATCH(MAX($G14:$AT14),$G14:$AT14,0)&lt;COUNTA($G$12:W$12),"",MAX($G14:W14)-MAX($G14:V14)))</f>
        <v>#DIV/0!</v>
      </c>
      <c r="X13" s="115" t="e">
        <f ca="1">IF(MAX($G14:$AT14)=0,"",IF(MATCH(MAX($G14:$AT14),$G14:$AT14,0)&lt;COUNTA($G$12:X$12),"",MAX($G14:X14)-MAX($G14:W14)))</f>
        <v>#DIV/0!</v>
      </c>
      <c r="Y13" s="115" t="e">
        <f ca="1">IF(MAX($G14:$AT14)=0,"",IF(MATCH(MAX($G14:$AT14),$G14:$AT14,0)&lt;COUNTA($G$12:Y$12),"",MAX($G14:Y14)-MAX($G14:X14)))</f>
        <v>#DIV/0!</v>
      </c>
      <c r="Z13" s="115" t="e">
        <f ca="1">IF(MAX($G14:$AT14)=0,"",IF(MATCH(MAX($G14:$AT14),$G14:$AT14,0)&lt;COUNTA($G$12:Z$12),"",MAX($G14:Z14)-MAX($G14:Y14)))</f>
        <v>#DIV/0!</v>
      </c>
      <c r="AA13" s="115" t="e">
        <f ca="1">IF(MAX($G14:$AT14)=0,"",IF(MATCH(MAX($G14:$AT14),$G14:$AT14,0)&lt;COUNTA($G$12:AA$12),"",MAX($G14:AA14)-MAX($G14:Z14)))</f>
        <v>#DIV/0!</v>
      </c>
      <c r="AB13" s="115" t="e">
        <f ca="1">IF(MAX($G14:$AT14)=0,"",IF(MATCH(MAX($G14:$AT14),$G14:$AT14,0)&lt;COUNTA($G$12:AB$12),"",MAX($G14:AB14)-MAX($G14:AA14)))</f>
        <v>#DIV/0!</v>
      </c>
      <c r="AC13" s="115" t="e">
        <f ca="1">IF(MAX($G14:$AT14)=0,"",IF(MATCH(MAX($G14:$AT14),$G14:$AT14,0)&lt;COUNTA($G$12:AC$12),"",MAX($G14:AC14)-MAX($G14:AB14)))</f>
        <v>#DIV/0!</v>
      </c>
      <c r="AD13" s="115" t="e">
        <f ca="1">IF(MAX($G14:$AT14)=0,"",IF(MATCH(MAX($G14:$AT14),$G14:$AT14,0)&lt;COUNTA($G$12:AD$12),"",MAX($G14:AD14)-MAX($G14:AC14)))</f>
        <v>#DIV/0!</v>
      </c>
      <c r="AE13" s="115" t="e">
        <f ca="1">IF(MAX($G14:$AT14)=0,"",IF(MATCH(MAX($G14:$AT14),$G14:$AT14,0)&lt;COUNTA($G$12:AE$12),"",MAX($G14:AE14)-MAX($G14:AD14)))</f>
        <v>#DIV/0!</v>
      </c>
      <c r="AF13" s="115" t="e">
        <f ca="1">IF(MAX($G14:$AT14)=0,"",IF(MATCH(MAX($G14:$AT14),$G14:$AT14,0)&lt;COUNTA($G$12:AF$12),"",MAX($G14:AF14)-MAX($G14:AE14)))</f>
        <v>#DIV/0!</v>
      </c>
      <c r="AG13" s="115" t="e">
        <f ca="1">IF(MAX($G14:$AT14)=0,"",IF(MATCH(MAX($G14:$AT14),$G14:$AT14,0)&lt;COUNTA($G$12:AG$12),"",MAX($G14:AG14)-MAX($G14:AF14)))</f>
        <v>#DIV/0!</v>
      </c>
      <c r="AH13" s="115" t="e">
        <f ca="1">IF(MAX($G14:$AT14)=0,"",IF(MATCH(MAX($G14:$AT14),$G14:$AT14,0)&lt;COUNTA($G$12:AH$12),"",MAX($G14:AH14)-MAX($G14:AG14)))</f>
        <v>#DIV/0!</v>
      </c>
      <c r="AI13" s="115" t="e">
        <f ca="1">IF(MAX($G14:$AT14)=0,"",IF(MATCH(MAX($G14:$AT14),$G14:$AT14,0)&lt;COUNTA($G$12:AI$12),"",MAX($G14:AI14)-MAX($G14:AH14)))</f>
        <v>#DIV/0!</v>
      </c>
      <c r="AJ13" s="115" t="e">
        <f ca="1">IF(MAX($G14:$AT14)=0,"",IF(MATCH(MAX($G14:$AT14),$G14:$AT14,0)&lt;COUNTA($G$12:AJ$12),"",MAX($G14:AJ14)-MAX($G14:AI14)))</f>
        <v>#DIV/0!</v>
      </c>
      <c r="AK13" s="115" t="e">
        <f ca="1">IF(MAX($G14:$AT14)=0,"",IF(MATCH(MAX($G14:$AT14),$G14:$AT14,0)&lt;COUNTA($G$12:AK$12),"",MAX($G14:AK14)-MAX($G14:AJ14)))</f>
        <v>#DIV/0!</v>
      </c>
      <c r="AL13" s="115" t="e">
        <f ca="1">IF(MAX($G14:$AT14)=0,"",IF(MATCH(MAX($G14:$AT14),$G14:$AT14,0)&lt;COUNTA($G$12:AL$12),"",MAX($G14:AL14)-MAX($G14:AK14)))</f>
        <v>#DIV/0!</v>
      </c>
      <c r="AM13" s="115" t="e">
        <f ca="1">IF(MAX($G14:$AT14)=0,"",IF(MATCH(MAX($G14:$AT14),$G14:$AT14,0)&lt;COUNTA($G$12:AM$12),"",MAX($G14:AM14)-MAX($G14:AL14)))</f>
        <v>#DIV/0!</v>
      </c>
      <c r="AN13" s="115" t="e">
        <f ca="1">IF(MAX($G14:$AT14)=0,"",IF(MATCH(MAX($G14:$AT14),$G14:$AT14,0)&lt;COUNTA($G$12:AN$12),"",MAX($G14:AN14)-MAX($G14:AM14)))</f>
        <v>#DIV/0!</v>
      </c>
      <c r="AO13" s="115" t="e">
        <f ca="1">IF(MAX($G14:$AT14)=0,"",IF(MATCH(MAX($G14:$AT14),$G14:$AT14,0)&lt;COUNTA($G$12:AO$12),"",MAX($G14:AO14)-MAX($G14:AN14)))</f>
        <v>#DIV/0!</v>
      </c>
      <c r="AP13" s="115" t="e">
        <f ca="1">IF(MAX($G14:$AT14)=0,"",IF(MATCH(MAX($G14:$AT14),$G14:$AT14,0)&lt;COUNTA($G$12:AP$12),"",MAX($G14:AP14)-MAX($G14:AO14)))</f>
        <v>#DIV/0!</v>
      </c>
      <c r="AQ13" s="115" t="e">
        <f ca="1">IF(MAX($G14:$AT14)=0,"",IF(MATCH(MAX($G14:$AT14),$G14:$AT14,0)&lt;COUNTA($G$12:AQ$12),"",MAX($G14:AQ14)-MAX($G14:AP14)))</f>
        <v>#DIV/0!</v>
      </c>
      <c r="AR13" s="115" t="e">
        <f ca="1">IF(MAX($G14:$AT14)=0,"",IF(MATCH(MAX($G14:$AT14),$G14:$AT14,0)&lt;COUNTA($G$12:AR$12),"",MAX($G14:AR14)-MAX($G14:AQ14)))</f>
        <v>#DIV/0!</v>
      </c>
      <c r="AS13" s="115" t="e">
        <f ca="1">IF(MAX($G14:$AT14)=0,"",IF(MATCH(MAX($G14:$AT14),$G14:$AT14,0)&lt;COUNTA($G$12:AS$12),"",MAX($G14:AS14)-MAX($G14:AR14)))</f>
        <v>#DIV/0!</v>
      </c>
      <c r="AT13" s="116" t="e">
        <f ca="1">IF(MAX($G14:$AT14)=0,"",IF(MATCH(MAX($G14:$AT14),$G14:$AT14,0)&lt;COUNTA($G$12:AT$12),"",MAX($G14:AT14)-MAX($G14:AS14)))</f>
        <v>#DIV/0!</v>
      </c>
      <c r="AY13" s="68"/>
    </row>
    <row r="14" spans="1:54" s="67" customFormat="1" ht="12.75" customHeight="1" x14ac:dyDescent="0.2">
      <c r="A14" s="108"/>
      <c r="B14" s="108"/>
      <c r="C14" s="361"/>
      <c r="D14" s="359"/>
      <c r="E14" s="367"/>
      <c r="F14" s="111" t="s">
        <v>9</v>
      </c>
      <c r="G14" s="117" t="e">
        <f ca="1">IF(ISNUMBER(VALUE($C13)),SUMPRODUCT(OFFSET(G14,2,0,COUNTIF($C$13:$C$42,$C13&amp;".*")*2-1),OFFSET($E13,2,0,COUNTIF($C$13:$C$42,$C13&amp;".*")*2-1))/$E13,0)</f>
        <v>#DIV/0!</v>
      </c>
      <c r="H14" s="117" t="e">
        <f t="shared" ref="H14:AT14" ca="1" si="1">IF(ISNUMBER(VALUE($C13)),SUMPRODUCT(OFFSET(H14,2,0,COUNTIF($C$13:$C$42,$C13&amp;".*")*2-1),OFFSET($E13,2,0,COUNTIF($C$13:$C$42,$C13&amp;".*")*2-1))/$E13,G14)</f>
        <v>#DIV/0!</v>
      </c>
      <c r="I14" s="117" t="e">
        <f t="shared" ca="1" si="1"/>
        <v>#DIV/0!</v>
      </c>
      <c r="J14" s="117" t="e">
        <f t="shared" ca="1" si="1"/>
        <v>#DIV/0!</v>
      </c>
      <c r="K14" s="117" t="e">
        <f t="shared" ca="1" si="1"/>
        <v>#DIV/0!</v>
      </c>
      <c r="L14" s="117" t="e">
        <f t="shared" ca="1" si="1"/>
        <v>#DIV/0!</v>
      </c>
      <c r="M14" s="117" t="e">
        <f t="shared" ca="1" si="1"/>
        <v>#DIV/0!</v>
      </c>
      <c r="N14" s="117" t="e">
        <f t="shared" ca="1" si="1"/>
        <v>#DIV/0!</v>
      </c>
      <c r="O14" s="117" t="e">
        <f t="shared" ca="1" si="1"/>
        <v>#DIV/0!</v>
      </c>
      <c r="P14" s="117" t="e">
        <f t="shared" ca="1" si="1"/>
        <v>#DIV/0!</v>
      </c>
      <c r="Q14" s="117" t="e">
        <f t="shared" ca="1" si="1"/>
        <v>#DIV/0!</v>
      </c>
      <c r="R14" s="117" t="e">
        <f t="shared" ca="1" si="1"/>
        <v>#DIV/0!</v>
      </c>
      <c r="S14" s="117" t="e">
        <f t="shared" ca="1" si="1"/>
        <v>#DIV/0!</v>
      </c>
      <c r="T14" s="117" t="e">
        <f t="shared" ca="1" si="1"/>
        <v>#DIV/0!</v>
      </c>
      <c r="U14" s="117" t="e">
        <f t="shared" ca="1" si="1"/>
        <v>#DIV/0!</v>
      </c>
      <c r="V14" s="117" t="e">
        <f t="shared" ca="1" si="1"/>
        <v>#DIV/0!</v>
      </c>
      <c r="W14" s="117" t="e">
        <f t="shared" ca="1" si="1"/>
        <v>#DIV/0!</v>
      </c>
      <c r="X14" s="117" t="e">
        <f t="shared" ca="1" si="1"/>
        <v>#DIV/0!</v>
      </c>
      <c r="Y14" s="117" t="e">
        <f t="shared" ca="1" si="1"/>
        <v>#DIV/0!</v>
      </c>
      <c r="Z14" s="117" t="e">
        <f t="shared" ca="1" si="1"/>
        <v>#DIV/0!</v>
      </c>
      <c r="AA14" s="117" t="e">
        <f t="shared" ca="1" si="1"/>
        <v>#DIV/0!</v>
      </c>
      <c r="AB14" s="117" t="e">
        <f t="shared" ca="1" si="1"/>
        <v>#DIV/0!</v>
      </c>
      <c r="AC14" s="117" t="e">
        <f t="shared" ca="1" si="1"/>
        <v>#DIV/0!</v>
      </c>
      <c r="AD14" s="117" t="e">
        <f t="shared" ca="1" si="1"/>
        <v>#DIV/0!</v>
      </c>
      <c r="AE14" s="117" t="e">
        <f t="shared" ca="1" si="1"/>
        <v>#DIV/0!</v>
      </c>
      <c r="AF14" s="117" t="e">
        <f t="shared" ca="1" si="1"/>
        <v>#DIV/0!</v>
      </c>
      <c r="AG14" s="117" t="e">
        <f t="shared" ca="1" si="1"/>
        <v>#DIV/0!</v>
      </c>
      <c r="AH14" s="117" t="e">
        <f t="shared" ca="1" si="1"/>
        <v>#DIV/0!</v>
      </c>
      <c r="AI14" s="117" t="e">
        <f t="shared" ca="1" si="1"/>
        <v>#DIV/0!</v>
      </c>
      <c r="AJ14" s="117" t="e">
        <f t="shared" ca="1" si="1"/>
        <v>#DIV/0!</v>
      </c>
      <c r="AK14" s="117" t="e">
        <f t="shared" ca="1" si="1"/>
        <v>#DIV/0!</v>
      </c>
      <c r="AL14" s="117" t="e">
        <f t="shared" ca="1" si="1"/>
        <v>#DIV/0!</v>
      </c>
      <c r="AM14" s="117" t="e">
        <f t="shared" ca="1" si="1"/>
        <v>#DIV/0!</v>
      </c>
      <c r="AN14" s="117" t="e">
        <f t="shared" ca="1" si="1"/>
        <v>#DIV/0!</v>
      </c>
      <c r="AO14" s="117" t="e">
        <f t="shared" ca="1" si="1"/>
        <v>#DIV/0!</v>
      </c>
      <c r="AP14" s="117" t="e">
        <f t="shared" ca="1" si="1"/>
        <v>#DIV/0!</v>
      </c>
      <c r="AQ14" s="117" t="e">
        <f t="shared" ca="1" si="1"/>
        <v>#DIV/0!</v>
      </c>
      <c r="AR14" s="117" t="e">
        <f t="shared" ca="1" si="1"/>
        <v>#DIV/0!</v>
      </c>
      <c r="AS14" s="117" t="e">
        <f t="shared" ca="1" si="1"/>
        <v>#DIV/0!</v>
      </c>
      <c r="AT14" s="118" t="e">
        <f t="shared" ca="1" si="1"/>
        <v>#DIV/0!</v>
      </c>
      <c r="AY14" s="68"/>
    </row>
    <row r="15" spans="1:54" s="67" customFormat="1" ht="12.75" customHeight="1" x14ac:dyDescent="0.2">
      <c r="A15" s="108">
        <f ca="1">OFFSET(A15,-2,0)+1</f>
        <v>2</v>
      </c>
      <c r="B15" s="108">
        <f ca="1">MATCH(A15,OFFSET(PO!$W$15,0,0,PO!$J$15),0)-1</f>
        <v>2</v>
      </c>
      <c r="C15" s="360" t="str">
        <f ca="1">IF(ISERROR($B15),"",OFFSET(PO!$L$15,$B15,0))</f>
        <v>1.1</v>
      </c>
      <c r="D15" s="358" t="str">
        <f ca="1">IF(ISERROR($B15),"",OFFSET(PO!$L$15,$B15,3))</f>
        <v>(Descreva aqui o agrupador)</v>
      </c>
      <c r="E15" s="372">
        <f ca="1">IF(ISERROR($B15),0,OFFSET(PO!$L$15,$B15,9))</f>
        <v>0</v>
      </c>
      <c r="F15" s="114" t="s">
        <v>7</v>
      </c>
      <c r="G15" s="119">
        <f ca="1">G16</f>
        <v>0</v>
      </c>
      <c r="H15" s="119" t="str">
        <f ca="1">IF(MAX($G16:$AT16)=0,"",IF(MATCH(MAX($G16:$AT16),$G16:$AT16,0)&lt;COUNTA($G$12:H$12),"",MAX($G16:H16)-MAX($G16:G16)))</f>
        <v/>
      </c>
      <c r="I15" s="119" t="str">
        <f ca="1">IF(MAX($G16:$AT16)=0,"",IF(MATCH(MAX($G16:$AT16),$G16:$AT16,0)&lt;COUNTA($G$12:I$12),"",MAX($G16:I16)-MAX($G16:H16)))</f>
        <v/>
      </c>
      <c r="J15" s="119" t="str">
        <f ca="1">IF(MAX($G16:$AT16)=0,"",IF(MATCH(MAX($G16:$AT16),$G16:$AT16,0)&lt;COUNTA($G$12:J$12),"",MAX($G16:J16)-MAX($G16:I16)))</f>
        <v/>
      </c>
      <c r="K15" s="119" t="str">
        <f ca="1">IF(MAX($G16:$AT16)=0,"",IF(MATCH(MAX($G16:$AT16),$G16:$AT16,0)&lt;COUNTA($G$12:K$12),"",MAX($G16:K16)-MAX($G16:J16)))</f>
        <v/>
      </c>
      <c r="L15" s="119" t="str">
        <f ca="1">IF(MAX($G16:$AT16)=0,"",IF(MATCH(MAX($G16:$AT16),$G16:$AT16,0)&lt;COUNTA($G$12:L$12),"",MAX($G16:L16)-MAX($G16:K16)))</f>
        <v/>
      </c>
      <c r="M15" s="119" t="str">
        <f ca="1">IF(MAX($G16:$AT16)=0,"",IF(MATCH(MAX($G16:$AT16),$G16:$AT16,0)&lt;COUNTA($G$12:M$12),"",MAX($G16:M16)-MAX($G16:L16)))</f>
        <v/>
      </c>
      <c r="N15" s="119" t="str">
        <f ca="1">IF(MAX($G16:$AT16)=0,"",IF(MATCH(MAX($G16:$AT16),$G16:$AT16,0)&lt;COUNTA($G$12:N$12),"",MAX($G16:N16)-MAX($G16:M16)))</f>
        <v/>
      </c>
      <c r="O15" s="119" t="str">
        <f ca="1">IF(MAX($G16:$AT16)=0,"",IF(MATCH(MAX($G16:$AT16),$G16:$AT16,0)&lt;COUNTA($G$12:O$12),"",MAX($G16:O16)-MAX($G16:N16)))</f>
        <v/>
      </c>
      <c r="P15" s="119" t="str">
        <f ca="1">IF(MAX($G16:$AT16)=0,"",IF(MATCH(MAX($G16:$AT16),$G16:$AT16,0)&lt;COUNTA($G$12:P$12),"",MAX($G16:P16)-MAX($G16:O16)))</f>
        <v/>
      </c>
      <c r="Q15" s="119" t="str">
        <f ca="1">IF(MAX($G16:$AT16)=0,"",IF(MATCH(MAX($G16:$AT16),$G16:$AT16,0)&lt;COUNTA($G$12:Q$12),"",MAX($G16:Q16)-MAX($G16:P16)))</f>
        <v/>
      </c>
      <c r="R15" s="119" t="str">
        <f ca="1">IF(MAX($G16:$AT16)=0,"",IF(MATCH(MAX($G16:$AT16),$G16:$AT16,0)&lt;COUNTA($G$12:R$12),"",MAX($G16:R16)-MAX($G16:Q16)))</f>
        <v/>
      </c>
      <c r="S15" s="119" t="str">
        <f ca="1">IF(MAX($G16:$AT16)=0,"",IF(MATCH(MAX($G16:$AT16),$G16:$AT16,0)&lt;COUNTA($G$12:S$12),"",MAX($G16:S16)-MAX($G16:R16)))</f>
        <v/>
      </c>
      <c r="T15" s="119" t="str">
        <f ca="1">IF(MAX($G16:$AT16)=0,"",IF(MATCH(MAX($G16:$AT16),$G16:$AT16,0)&lt;COUNTA($G$12:T$12),"",MAX($G16:T16)-MAX($G16:S16)))</f>
        <v/>
      </c>
      <c r="U15" s="119" t="str">
        <f ca="1">IF(MAX($G16:$AT16)=0,"",IF(MATCH(MAX($G16:$AT16),$G16:$AT16,0)&lt;COUNTA($G$12:U$12),"",MAX($G16:U16)-MAX($G16:T16)))</f>
        <v/>
      </c>
      <c r="V15" s="119" t="str">
        <f ca="1">IF(MAX($G16:$AT16)=0,"",IF(MATCH(MAX($G16:$AT16),$G16:$AT16,0)&lt;COUNTA($G$12:V$12),"",MAX($G16:V16)-MAX($G16:U16)))</f>
        <v/>
      </c>
      <c r="W15" s="119" t="str">
        <f ca="1">IF(MAX($G16:$AT16)=0,"",IF(MATCH(MAX($G16:$AT16),$G16:$AT16,0)&lt;COUNTA($G$12:W$12),"",MAX($G16:W16)-MAX($G16:V16)))</f>
        <v/>
      </c>
      <c r="X15" s="119" t="str">
        <f ca="1">IF(MAX($G16:$AT16)=0,"",IF(MATCH(MAX($G16:$AT16),$G16:$AT16,0)&lt;COUNTA($G$12:X$12),"",MAX($G16:X16)-MAX($G16:W16)))</f>
        <v/>
      </c>
      <c r="Y15" s="119" t="str">
        <f ca="1">IF(MAX($G16:$AT16)=0,"",IF(MATCH(MAX($G16:$AT16),$G16:$AT16,0)&lt;COUNTA($G$12:Y$12),"",MAX($G16:Y16)-MAX($G16:X16)))</f>
        <v/>
      </c>
      <c r="Z15" s="119" t="str">
        <f ca="1">IF(MAX($G16:$AT16)=0,"",IF(MATCH(MAX($G16:$AT16),$G16:$AT16,0)&lt;COUNTA($G$12:Z$12),"",MAX($G16:Z16)-MAX($G16:Y16)))</f>
        <v/>
      </c>
      <c r="AA15" s="119" t="str">
        <f ca="1">IF(MAX($G16:$AT16)=0,"",IF(MATCH(MAX($G16:$AT16),$G16:$AT16,0)&lt;COUNTA($G$12:AA$12),"",MAX($G16:AA16)-MAX($G16:Z16)))</f>
        <v/>
      </c>
      <c r="AB15" s="119" t="str">
        <f ca="1">IF(MAX($G16:$AT16)=0,"",IF(MATCH(MAX($G16:$AT16),$G16:$AT16,0)&lt;COUNTA($G$12:AB$12),"",MAX($G16:AB16)-MAX($G16:AA16)))</f>
        <v/>
      </c>
      <c r="AC15" s="119" t="str">
        <f ca="1">IF(MAX($G16:$AT16)=0,"",IF(MATCH(MAX($G16:$AT16),$G16:$AT16,0)&lt;COUNTA($G$12:AC$12),"",MAX($G16:AC16)-MAX($G16:AB16)))</f>
        <v/>
      </c>
      <c r="AD15" s="119" t="str">
        <f ca="1">IF(MAX($G16:$AT16)=0,"",IF(MATCH(MAX($G16:$AT16),$G16:$AT16,0)&lt;COUNTA($G$12:AD$12),"",MAX($G16:AD16)-MAX($G16:AC16)))</f>
        <v/>
      </c>
      <c r="AE15" s="119" t="str">
        <f ca="1">IF(MAX($G16:$AT16)=0,"",IF(MATCH(MAX($G16:$AT16),$G16:$AT16,0)&lt;COUNTA($G$12:AE$12),"",MAX($G16:AE16)-MAX($G16:AD16)))</f>
        <v/>
      </c>
      <c r="AF15" s="119" t="str">
        <f ca="1">IF(MAX($G16:$AT16)=0,"",IF(MATCH(MAX($G16:$AT16),$G16:$AT16,0)&lt;COUNTA($G$12:AF$12),"",MAX($G16:AF16)-MAX($G16:AE16)))</f>
        <v/>
      </c>
      <c r="AG15" s="119" t="str">
        <f ca="1">IF(MAX($G16:$AT16)=0,"",IF(MATCH(MAX($G16:$AT16),$G16:$AT16,0)&lt;COUNTA($G$12:AG$12),"",MAX($G16:AG16)-MAX($G16:AF16)))</f>
        <v/>
      </c>
      <c r="AH15" s="119" t="str">
        <f ca="1">IF(MAX($G16:$AT16)=0,"",IF(MATCH(MAX($G16:$AT16),$G16:$AT16,0)&lt;COUNTA($G$12:AH$12),"",MAX($G16:AH16)-MAX($G16:AG16)))</f>
        <v/>
      </c>
      <c r="AI15" s="119" t="str">
        <f ca="1">IF(MAX($G16:$AT16)=0,"",IF(MATCH(MAX($G16:$AT16),$G16:$AT16,0)&lt;COUNTA($G$12:AI$12),"",MAX($G16:AI16)-MAX($G16:AH16)))</f>
        <v/>
      </c>
      <c r="AJ15" s="119" t="str">
        <f ca="1">IF(MAX($G16:$AT16)=0,"",IF(MATCH(MAX($G16:$AT16),$G16:$AT16,0)&lt;COUNTA($G$12:AJ$12),"",MAX($G16:AJ16)-MAX($G16:AI16)))</f>
        <v/>
      </c>
      <c r="AK15" s="119" t="str">
        <f ca="1">IF(MAX($G16:$AT16)=0,"",IF(MATCH(MAX($G16:$AT16),$G16:$AT16,0)&lt;COUNTA($G$12:AK$12),"",MAX($G16:AK16)-MAX($G16:AJ16)))</f>
        <v/>
      </c>
      <c r="AL15" s="119" t="str">
        <f ca="1">IF(MAX($G16:$AT16)=0,"",IF(MATCH(MAX($G16:$AT16),$G16:$AT16,0)&lt;COUNTA($G$12:AL$12),"",MAX($G16:AL16)-MAX($G16:AK16)))</f>
        <v/>
      </c>
      <c r="AM15" s="119" t="str">
        <f ca="1">IF(MAX($G16:$AT16)=0,"",IF(MATCH(MAX($G16:$AT16),$G16:$AT16,0)&lt;COUNTA($G$12:AM$12),"",MAX($G16:AM16)-MAX($G16:AL16)))</f>
        <v/>
      </c>
      <c r="AN15" s="119" t="str">
        <f ca="1">IF(MAX($G16:$AT16)=0,"",IF(MATCH(MAX($G16:$AT16),$G16:$AT16,0)&lt;COUNTA($G$12:AN$12),"",MAX($G16:AN16)-MAX($G16:AM16)))</f>
        <v/>
      </c>
      <c r="AO15" s="119" t="str">
        <f ca="1">IF(MAX($G16:$AT16)=0,"",IF(MATCH(MAX($G16:$AT16),$G16:$AT16,0)&lt;COUNTA($G$12:AO$12),"",MAX($G16:AO16)-MAX($G16:AN16)))</f>
        <v/>
      </c>
      <c r="AP15" s="119" t="str">
        <f ca="1">IF(MAX($G16:$AT16)=0,"",IF(MATCH(MAX($G16:$AT16),$G16:$AT16,0)&lt;COUNTA($G$12:AP$12),"",MAX($G16:AP16)-MAX($G16:AO16)))</f>
        <v/>
      </c>
      <c r="AQ15" s="119" t="str">
        <f ca="1">IF(MAX($G16:$AT16)=0,"",IF(MATCH(MAX($G16:$AT16),$G16:$AT16,0)&lt;COUNTA($G$12:AQ$12),"",MAX($G16:AQ16)-MAX($G16:AP16)))</f>
        <v/>
      </c>
      <c r="AR15" s="119" t="str">
        <f ca="1">IF(MAX($G16:$AT16)=0,"",IF(MATCH(MAX($G16:$AT16),$G16:$AT16,0)&lt;COUNTA($G$12:AR$12),"",MAX($G16:AR16)-MAX($G16:AQ16)))</f>
        <v/>
      </c>
      <c r="AS15" s="119" t="str">
        <f ca="1">IF(MAX($G16:$AT16)=0,"",IF(MATCH(MAX($G16:$AT16),$G16:$AT16,0)&lt;COUNTA($G$12:AS$12),"",MAX($G16:AS16)-MAX($G16:AR16)))</f>
        <v/>
      </c>
      <c r="AT15" s="120" t="str">
        <f ca="1">IF(MAX($G16:$AT16)=0,"",IF(MATCH(MAX($G16:$AT16),$G16:$AT16,0)&lt;COUNTA($G$12:AT$12),"",MAX($G16:AT16)-MAX($G16:AS16)))</f>
        <v/>
      </c>
      <c r="AY15" s="68"/>
    </row>
    <row r="16" spans="1:54" s="67" customFormat="1" ht="12.75" customHeight="1" x14ac:dyDescent="0.2">
      <c r="A16" s="108"/>
      <c r="B16" s="108"/>
      <c r="C16" s="361"/>
      <c r="D16" s="359"/>
      <c r="E16" s="367"/>
      <c r="F16" s="111" t="s">
        <v>9</v>
      </c>
      <c r="G16" s="112">
        <f ca="1">IF(ISNUMBER(VALUE($C15)),SUMPRODUCT(OFFSET(G16,2,0,COUNTIF($C$13:$C$42,$C15&amp;".*")*2-1),OFFSET($E15,2,0,COUNTIF($C$13:$C$42,$C15&amp;".*")*2-1))/$E15,0)</f>
        <v>0</v>
      </c>
      <c r="H16" s="112">
        <f t="shared" ref="H16:AT16" ca="1" si="2">IF(ISNUMBER(VALUE($C15)),SUMPRODUCT(OFFSET(H16,2,0,COUNTIF($C$13:$C$42,$C15&amp;".*")*2-1),OFFSET($E15,2,0,COUNTIF($C$13:$C$42,$C15&amp;".*")*2-1))/$E15,G16)</f>
        <v>0</v>
      </c>
      <c r="I16" s="112">
        <f t="shared" ca="1" si="2"/>
        <v>0</v>
      </c>
      <c r="J16" s="112">
        <f t="shared" ca="1" si="2"/>
        <v>0</v>
      </c>
      <c r="K16" s="112">
        <f t="shared" ca="1" si="2"/>
        <v>0</v>
      </c>
      <c r="L16" s="112">
        <f t="shared" ca="1" si="2"/>
        <v>0</v>
      </c>
      <c r="M16" s="112">
        <f t="shared" ca="1" si="2"/>
        <v>0</v>
      </c>
      <c r="N16" s="112">
        <f t="shared" ca="1" si="2"/>
        <v>0</v>
      </c>
      <c r="O16" s="112">
        <f t="shared" ca="1" si="2"/>
        <v>0</v>
      </c>
      <c r="P16" s="112">
        <f t="shared" ca="1" si="2"/>
        <v>0</v>
      </c>
      <c r="Q16" s="112">
        <f t="shared" ca="1" si="2"/>
        <v>0</v>
      </c>
      <c r="R16" s="112">
        <f t="shared" ca="1" si="2"/>
        <v>0</v>
      </c>
      <c r="S16" s="112">
        <f t="shared" ca="1" si="2"/>
        <v>0</v>
      </c>
      <c r="T16" s="112">
        <f t="shared" ca="1" si="2"/>
        <v>0</v>
      </c>
      <c r="U16" s="112">
        <f t="shared" ca="1" si="2"/>
        <v>0</v>
      </c>
      <c r="V16" s="112">
        <f t="shared" ca="1" si="2"/>
        <v>0</v>
      </c>
      <c r="W16" s="112">
        <f t="shared" ca="1" si="2"/>
        <v>0</v>
      </c>
      <c r="X16" s="112">
        <f t="shared" ca="1" si="2"/>
        <v>0</v>
      </c>
      <c r="Y16" s="112">
        <f t="shared" ca="1" si="2"/>
        <v>0</v>
      </c>
      <c r="Z16" s="112">
        <f t="shared" ca="1" si="2"/>
        <v>0</v>
      </c>
      <c r="AA16" s="112">
        <f t="shared" ca="1" si="2"/>
        <v>0</v>
      </c>
      <c r="AB16" s="112">
        <f t="shared" ca="1" si="2"/>
        <v>0</v>
      </c>
      <c r="AC16" s="112">
        <f t="shared" ca="1" si="2"/>
        <v>0</v>
      </c>
      <c r="AD16" s="112">
        <f t="shared" ca="1" si="2"/>
        <v>0</v>
      </c>
      <c r="AE16" s="112">
        <f t="shared" ca="1" si="2"/>
        <v>0</v>
      </c>
      <c r="AF16" s="112">
        <f t="shared" ca="1" si="2"/>
        <v>0</v>
      </c>
      <c r="AG16" s="112">
        <f t="shared" ca="1" si="2"/>
        <v>0</v>
      </c>
      <c r="AH16" s="112">
        <f t="shared" ca="1" si="2"/>
        <v>0</v>
      </c>
      <c r="AI16" s="112">
        <f t="shared" ca="1" si="2"/>
        <v>0</v>
      </c>
      <c r="AJ16" s="112">
        <f t="shared" ca="1" si="2"/>
        <v>0</v>
      </c>
      <c r="AK16" s="112">
        <f t="shared" ca="1" si="2"/>
        <v>0</v>
      </c>
      <c r="AL16" s="112">
        <f t="shared" ca="1" si="2"/>
        <v>0</v>
      </c>
      <c r="AM16" s="112">
        <f t="shared" ca="1" si="2"/>
        <v>0</v>
      </c>
      <c r="AN16" s="112">
        <f t="shared" ca="1" si="2"/>
        <v>0</v>
      </c>
      <c r="AO16" s="112">
        <f t="shared" ca="1" si="2"/>
        <v>0</v>
      </c>
      <c r="AP16" s="112">
        <f t="shared" ca="1" si="2"/>
        <v>0</v>
      </c>
      <c r="AQ16" s="112">
        <f t="shared" ca="1" si="2"/>
        <v>0</v>
      </c>
      <c r="AR16" s="112">
        <f t="shared" ca="1" si="2"/>
        <v>0</v>
      </c>
      <c r="AS16" s="112">
        <f t="shared" ca="1" si="2"/>
        <v>0</v>
      </c>
      <c r="AT16" s="113">
        <f t="shared" ca="1" si="2"/>
        <v>0</v>
      </c>
      <c r="AY16" s="68"/>
    </row>
    <row r="17" spans="1:51" s="67" customFormat="1" ht="12.75" customHeight="1" x14ac:dyDescent="0.2">
      <c r="A17" s="108">
        <f ca="1">OFFSET(A17,-2,0)+1</f>
        <v>3</v>
      </c>
      <c r="B17" s="108" t="e">
        <f ca="1">MATCH(A17,OFFSET(PO!$W$15,0,0,PO!$J$15),0)-1</f>
        <v>#N/A</v>
      </c>
      <c r="C17" s="365" t="str">
        <f ca="1">IF(ISERROR($B17),"",OFFSET(PO!$L$15,$B17,0))</f>
        <v/>
      </c>
      <c r="D17" s="371" t="str">
        <f ca="1">IF(ISERROR($B17),"",OFFSET(PO!$L$15,$B17,3))</f>
        <v/>
      </c>
      <c r="E17" s="366">
        <f ca="1">IF(ISERROR($B17),0,OFFSET(PO!$L$15,$B17,9))</f>
        <v>0</v>
      </c>
      <c r="F17" s="109" t="s">
        <v>7</v>
      </c>
      <c r="G17" s="121">
        <f ca="1">G18</f>
        <v>0</v>
      </c>
      <c r="H17" s="121" t="str">
        <f ca="1">IF(MAX($G18:$AT18)=0,"",IF(MATCH(MAX($G18:$AT18),$G18:$AT18,0)&lt;COUNTA($G$12:H$12),"",MAX($G18:H18)-MAX($G18:G18)))</f>
        <v/>
      </c>
      <c r="I17" s="121" t="str">
        <f ca="1">IF(MAX($G18:$AT18)=0,"",IF(MATCH(MAX($G18:$AT18),$G18:$AT18,0)&lt;COUNTA($G$12:I$12),"",MAX($G18:I18)-MAX($G18:H18)))</f>
        <v/>
      </c>
      <c r="J17" s="121" t="str">
        <f ca="1">IF(MAX($G18:$AT18)=0,"",IF(MATCH(MAX($G18:$AT18),$G18:$AT18,0)&lt;COUNTA($G$12:J$12),"",MAX($G18:J18)-MAX($G18:I18)))</f>
        <v/>
      </c>
      <c r="K17" s="121" t="str">
        <f ca="1">IF(MAX($G18:$AT18)=0,"",IF(MATCH(MAX($G18:$AT18),$G18:$AT18,0)&lt;COUNTA($G$12:K$12),"",MAX($G18:K18)-MAX($G18:J18)))</f>
        <v/>
      </c>
      <c r="L17" s="121" t="str">
        <f ca="1">IF(MAX($G18:$AT18)=0,"",IF(MATCH(MAX($G18:$AT18),$G18:$AT18,0)&lt;COUNTA($G$12:L$12),"",MAX($G18:L18)-MAX($G18:K18)))</f>
        <v/>
      </c>
      <c r="M17" s="121" t="str">
        <f ca="1">IF(MAX($G18:$AT18)=0,"",IF(MATCH(MAX($G18:$AT18),$G18:$AT18,0)&lt;COUNTA($G$12:M$12),"",MAX($G18:M18)-MAX($G18:L18)))</f>
        <v/>
      </c>
      <c r="N17" s="121" t="str">
        <f ca="1">IF(MAX($G18:$AT18)=0,"",IF(MATCH(MAX($G18:$AT18),$G18:$AT18,0)&lt;COUNTA($G$12:N$12),"",MAX($G18:N18)-MAX($G18:M18)))</f>
        <v/>
      </c>
      <c r="O17" s="121" t="str">
        <f ca="1">IF(MAX($G18:$AT18)=0,"",IF(MATCH(MAX($G18:$AT18),$G18:$AT18,0)&lt;COUNTA($G$12:O$12),"",MAX($G18:O18)-MAX($G18:N18)))</f>
        <v/>
      </c>
      <c r="P17" s="121" t="str">
        <f ca="1">IF(MAX($G18:$AT18)=0,"",IF(MATCH(MAX($G18:$AT18),$G18:$AT18,0)&lt;COUNTA($G$12:P$12),"",MAX($G18:P18)-MAX($G18:O18)))</f>
        <v/>
      </c>
      <c r="Q17" s="121" t="str">
        <f ca="1">IF(MAX($G18:$AT18)=0,"",IF(MATCH(MAX($G18:$AT18),$G18:$AT18,0)&lt;COUNTA($G$12:Q$12),"",MAX($G18:Q18)-MAX($G18:P18)))</f>
        <v/>
      </c>
      <c r="R17" s="121" t="str">
        <f ca="1">IF(MAX($G18:$AT18)=0,"",IF(MATCH(MAX($G18:$AT18),$G18:$AT18,0)&lt;COUNTA($G$12:R$12),"",MAX($G18:R18)-MAX($G18:Q18)))</f>
        <v/>
      </c>
      <c r="S17" s="121" t="str">
        <f ca="1">IF(MAX($G18:$AT18)=0,"",IF(MATCH(MAX($G18:$AT18),$G18:$AT18,0)&lt;COUNTA($G$12:S$12),"",MAX($G18:S18)-MAX($G18:R18)))</f>
        <v/>
      </c>
      <c r="T17" s="121" t="str">
        <f ca="1">IF(MAX($G18:$AT18)=0,"",IF(MATCH(MAX($G18:$AT18),$G18:$AT18,0)&lt;COUNTA($G$12:T$12),"",MAX($G18:T18)-MAX($G18:S18)))</f>
        <v/>
      </c>
      <c r="U17" s="121" t="str">
        <f ca="1">IF(MAX($G18:$AT18)=0,"",IF(MATCH(MAX($G18:$AT18),$G18:$AT18,0)&lt;COUNTA($G$12:U$12),"",MAX($G18:U18)-MAX($G18:T18)))</f>
        <v/>
      </c>
      <c r="V17" s="121" t="str">
        <f ca="1">IF(MAX($G18:$AT18)=0,"",IF(MATCH(MAX($G18:$AT18),$G18:$AT18,0)&lt;COUNTA($G$12:V$12),"",MAX($G18:V18)-MAX($G18:U18)))</f>
        <v/>
      </c>
      <c r="W17" s="121" t="str">
        <f ca="1">IF(MAX($G18:$AT18)=0,"",IF(MATCH(MAX($G18:$AT18),$G18:$AT18,0)&lt;COUNTA($G$12:W$12),"",MAX($G18:W18)-MAX($G18:V18)))</f>
        <v/>
      </c>
      <c r="X17" s="121" t="str">
        <f ca="1">IF(MAX($G18:$AT18)=0,"",IF(MATCH(MAX($G18:$AT18),$G18:$AT18,0)&lt;COUNTA($G$12:X$12),"",MAX($G18:X18)-MAX($G18:W18)))</f>
        <v/>
      </c>
      <c r="Y17" s="121" t="str">
        <f ca="1">IF(MAX($G18:$AT18)=0,"",IF(MATCH(MAX($G18:$AT18),$G18:$AT18,0)&lt;COUNTA($G$12:Y$12),"",MAX($G18:Y18)-MAX($G18:X18)))</f>
        <v/>
      </c>
      <c r="Z17" s="121" t="str">
        <f ca="1">IF(MAX($G18:$AT18)=0,"",IF(MATCH(MAX($G18:$AT18),$G18:$AT18,0)&lt;COUNTA($G$12:Z$12),"",MAX($G18:Z18)-MAX($G18:Y18)))</f>
        <v/>
      </c>
      <c r="AA17" s="121" t="str">
        <f ca="1">IF(MAX($G18:$AT18)=0,"",IF(MATCH(MAX($G18:$AT18),$G18:$AT18,0)&lt;COUNTA($G$12:AA$12),"",MAX($G18:AA18)-MAX($G18:Z18)))</f>
        <v/>
      </c>
      <c r="AB17" s="121" t="str">
        <f ca="1">IF(MAX($G18:$AT18)=0,"",IF(MATCH(MAX($G18:$AT18),$G18:$AT18,0)&lt;COUNTA($G$12:AB$12),"",MAX($G18:AB18)-MAX($G18:AA18)))</f>
        <v/>
      </c>
      <c r="AC17" s="121" t="str">
        <f ca="1">IF(MAX($G18:$AT18)=0,"",IF(MATCH(MAX($G18:$AT18),$G18:$AT18,0)&lt;COUNTA($G$12:AC$12),"",MAX($G18:AC18)-MAX($G18:AB18)))</f>
        <v/>
      </c>
      <c r="AD17" s="121" t="str">
        <f ca="1">IF(MAX($G18:$AT18)=0,"",IF(MATCH(MAX($G18:$AT18),$G18:$AT18,0)&lt;COUNTA($G$12:AD$12),"",MAX($G18:AD18)-MAX($G18:AC18)))</f>
        <v/>
      </c>
      <c r="AE17" s="121" t="str">
        <f ca="1">IF(MAX($G18:$AT18)=0,"",IF(MATCH(MAX($G18:$AT18),$G18:$AT18,0)&lt;COUNTA($G$12:AE$12),"",MAX($G18:AE18)-MAX($G18:AD18)))</f>
        <v/>
      </c>
      <c r="AF17" s="121" t="str">
        <f ca="1">IF(MAX($G18:$AT18)=0,"",IF(MATCH(MAX($G18:$AT18),$G18:$AT18,0)&lt;COUNTA($G$12:AF$12),"",MAX($G18:AF18)-MAX($G18:AE18)))</f>
        <v/>
      </c>
      <c r="AG17" s="121" t="str">
        <f ca="1">IF(MAX($G18:$AT18)=0,"",IF(MATCH(MAX($G18:$AT18),$G18:$AT18,0)&lt;COUNTA($G$12:AG$12),"",MAX($G18:AG18)-MAX($G18:AF18)))</f>
        <v/>
      </c>
      <c r="AH17" s="121" t="str">
        <f ca="1">IF(MAX($G18:$AT18)=0,"",IF(MATCH(MAX($G18:$AT18),$G18:$AT18,0)&lt;COUNTA($G$12:AH$12),"",MAX($G18:AH18)-MAX($G18:AG18)))</f>
        <v/>
      </c>
      <c r="AI17" s="121" t="str">
        <f ca="1">IF(MAX($G18:$AT18)=0,"",IF(MATCH(MAX($G18:$AT18),$G18:$AT18,0)&lt;COUNTA($G$12:AI$12),"",MAX($G18:AI18)-MAX($G18:AH18)))</f>
        <v/>
      </c>
      <c r="AJ17" s="121" t="str">
        <f ca="1">IF(MAX($G18:$AT18)=0,"",IF(MATCH(MAX($G18:$AT18),$G18:$AT18,0)&lt;COUNTA($G$12:AJ$12),"",MAX($G18:AJ18)-MAX($G18:AI18)))</f>
        <v/>
      </c>
      <c r="AK17" s="121" t="str">
        <f ca="1">IF(MAX($G18:$AT18)=0,"",IF(MATCH(MAX($G18:$AT18),$G18:$AT18,0)&lt;COUNTA($G$12:AK$12),"",MAX($G18:AK18)-MAX($G18:AJ18)))</f>
        <v/>
      </c>
      <c r="AL17" s="121" t="str">
        <f ca="1">IF(MAX($G18:$AT18)=0,"",IF(MATCH(MAX($G18:$AT18),$G18:$AT18,0)&lt;COUNTA($G$12:AL$12),"",MAX($G18:AL18)-MAX($G18:AK18)))</f>
        <v/>
      </c>
      <c r="AM17" s="121" t="str">
        <f ca="1">IF(MAX($G18:$AT18)=0,"",IF(MATCH(MAX($G18:$AT18),$G18:$AT18,0)&lt;COUNTA($G$12:AM$12),"",MAX($G18:AM18)-MAX($G18:AL18)))</f>
        <v/>
      </c>
      <c r="AN17" s="121" t="str">
        <f ca="1">IF(MAX($G18:$AT18)=0,"",IF(MATCH(MAX($G18:$AT18),$G18:$AT18,0)&lt;COUNTA($G$12:AN$12),"",MAX($G18:AN18)-MAX($G18:AM18)))</f>
        <v/>
      </c>
      <c r="AO17" s="121" t="str">
        <f ca="1">IF(MAX($G18:$AT18)=0,"",IF(MATCH(MAX($G18:$AT18),$G18:$AT18,0)&lt;COUNTA($G$12:AO$12),"",MAX($G18:AO18)-MAX($G18:AN18)))</f>
        <v/>
      </c>
      <c r="AP17" s="121" t="str">
        <f ca="1">IF(MAX($G18:$AT18)=0,"",IF(MATCH(MAX($G18:$AT18),$G18:$AT18,0)&lt;COUNTA($G$12:AP$12),"",MAX($G18:AP18)-MAX($G18:AO18)))</f>
        <v/>
      </c>
      <c r="AQ17" s="121" t="str">
        <f ca="1">IF(MAX($G18:$AT18)=0,"",IF(MATCH(MAX($G18:$AT18),$G18:$AT18,0)&lt;COUNTA($G$12:AQ$12),"",MAX($G18:AQ18)-MAX($G18:AP18)))</f>
        <v/>
      </c>
      <c r="AR17" s="121" t="str">
        <f ca="1">IF(MAX($G18:$AT18)=0,"",IF(MATCH(MAX($G18:$AT18),$G18:$AT18,0)&lt;COUNTA($G$12:AR$12),"",MAX($G18:AR18)-MAX($G18:AQ18)))</f>
        <v/>
      </c>
      <c r="AS17" s="121" t="str">
        <f ca="1">IF(MAX($G18:$AT18)=0,"",IF(MATCH(MAX($G18:$AT18),$G18:$AT18,0)&lt;COUNTA($G$12:AS$12),"",MAX($G18:AS18)-MAX($G18:AR18)))</f>
        <v/>
      </c>
      <c r="AT17" s="122" t="str">
        <f ca="1">IF(MAX($G18:$AT18)=0,"",IF(MATCH(MAX($G18:$AT18),$G18:$AT18,0)&lt;COUNTA($G$12:AT$12),"",MAX($G18:AT18)-MAX($G18:AS18)))</f>
        <v/>
      </c>
      <c r="AY17" s="68"/>
    </row>
    <row r="18" spans="1:51" s="67" customFormat="1" ht="12.75" customHeight="1" x14ac:dyDescent="0.2">
      <c r="A18" s="108"/>
      <c r="B18" s="108"/>
      <c r="C18" s="361"/>
      <c r="D18" s="359"/>
      <c r="E18" s="367"/>
      <c r="F18" s="111" t="s">
        <v>9</v>
      </c>
      <c r="G18" s="112">
        <f ca="1">IF(ISNUMBER(VALUE($C17)),SUMPRODUCT(OFFSET(G18,2,0,COUNTIF($C$13:$C$42,$C17&amp;".*")*2-1),OFFSET($E17,2,0,COUNTIF($C$13:$C$42,$C17&amp;".*")*2-1))/$E17,0)</f>
        <v>0</v>
      </c>
      <c r="H18" s="112">
        <f t="shared" ref="H18:AT18" ca="1" si="3">IF(ISNUMBER(VALUE($C17)),SUMPRODUCT(OFFSET(H18,2,0,COUNTIF($C$13:$C$42,$C17&amp;".*")*2-1),OFFSET($E17,2,0,COUNTIF($C$13:$C$42,$C17&amp;".*")*2-1))/$E17,G18)</f>
        <v>0</v>
      </c>
      <c r="I18" s="112">
        <f t="shared" ca="1" si="3"/>
        <v>0</v>
      </c>
      <c r="J18" s="112">
        <f t="shared" ca="1" si="3"/>
        <v>0</v>
      </c>
      <c r="K18" s="112">
        <f t="shared" ca="1" si="3"/>
        <v>0</v>
      </c>
      <c r="L18" s="112">
        <f t="shared" ca="1" si="3"/>
        <v>0</v>
      </c>
      <c r="M18" s="112">
        <f t="shared" ca="1" si="3"/>
        <v>0</v>
      </c>
      <c r="N18" s="112">
        <f t="shared" ca="1" si="3"/>
        <v>0</v>
      </c>
      <c r="O18" s="112">
        <f t="shared" ca="1" si="3"/>
        <v>0</v>
      </c>
      <c r="P18" s="112">
        <f t="shared" ca="1" si="3"/>
        <v>0</v>
      </c>
      <c r="Q18" s="112">
        <f t="shared" ca="1" si="3"/>
        <v>0</v>
      </c>
      <c r="R18" s="112">
        <f t="shared" ca="1" si="3"/>
        <v>0</v>
      </c>
      <c r="S18" s="112">
        <f t="shared" ca="1" si="3"/>
        <v>0</v>
      </c>
      <c r="T18" s="112">
        <f t="shared" ca="1" si="3"/>
        <v>0</v>
      </c>
      <c r="U18" s="112">
        <f t="shared" ca="1" si="3"/>
        <v>0</v>
      </c>
      <c r="V18" s="112">
        <f t="shared" ca="1" si="3"/>
        <v>0</v>
      </c>
      <c r="W18" s="112">
        <f t="shared" ca="1" si="3"/>
        <v>0</v>
      </c>
      <c r="X18" s="112">
        <f t="shared" ca="1" si="3"/>
        <v>0</v>
      </c>
      <c r="Y18" s="112">
        <f t="shared" ca="1" si="3"/>
        <v>0</v>
      </c>
      <c r="Z18" s="112">
        <f t="shared" ca="1" si="3"/>
        <v>0</v>
      </c>
      <c r="AA18" s="112">
        <f t="shared" ca="1" si="3"/>
        <v>0</v>
      </c>
      <c r="AB18" s="112">
        <f t="shared" ca="1" si="3"/>
        <v>0</v>
      </c>
      <c r="AC18" s="112">
        <f t="shared" ca="1" si="3"/>
        <v>0</v>
      </c>
      <c r="AD18" s="112">
        <f t="shared" ca="1" si="3"/>
        <v>0</v>
      </c>
      <c r="AE18" s="112">
        <f t="shared" ca="1" si="3"/>
        <v>0</v>
      </c>
      <c r="AF18" s="112">
        <f t="shared" ca="1" si="3"/>
        <v>0</v>
      </c>
      <c r="AG18" s="112">
        <f t="shared" ca="1" si="3"/>
        <v>0</v>
      </c>
      <c r="AH18" s="112">
        <f t="shared" ca="1" si="3"/>
        <v>0</v>
      </c>
      <c r="AI18" s="112">
        <f t="shared" ca="1" si="3"/>
        <v>0</v>
      </c>
      <c r="AJ18" s="112">
        <f t="shared" ca="1" si="3"/>
        <v>0</v>
      </c>
      <c r="AK18" s="112">
        <f t="shared" ca="1" si="3"/>
        <v>0</v>
      </c>
      <c r="AL18" s="112">
        <f t="shared" ca="1" si="3"/>
        <v>0</v>
      </c>
      <c r="AM18" s="112">
        <f t="shared" ca="1" si="3"/>
        <v>0</v>
      </c>
      <c r="AN18" s="112">
        <f t="shared" ca="1" si="3"/>
        <v>0</v>
      </c>
      <c r="AO18" s="112">
        <f t="shared" ca="1" si="3"/>
        <v>0</v>
      </c>
      <c r="AP18" s="112">
        <f t="shared" ca="1" si="3"/>
        <v>0</v>
      </c>
      <c r="AQ18" s="112">
        <f t="shared" ca="1" si="3"/>
        <v>0</v>
      </c>
      <c r="AR18" s="112">
        <f t="shared" ca="1" si="3"/>
        <v>0</v>
      </c>
      <c r="AS18" s="112">
        <f t="shared" ca="1" si="3"/>
        <v>0</v>
      </c>
      <c r="AT18" s="113">
        <f t="shared" ca="1" si="3"/>
        <v>0</v>
      </c>
      <c r="AY18" s="68"/>
    </row>
    <row r="19" spans="1:51" s="67" customFormat="1" ht="12.75" customHeight="1" x14ac:dyDescent="0.2">
      <c r="A19" s="108">
        <f ca="1">OFFSET(A19,-2,0)+1</f>
        <v>4</v>
      </c>
      <c r="B19" s="108" t="e">
        <f ca="1">MATCH(A19,OFFSET(PO!$W$15,0,0,PO!$J$15),0)-1</f>
        <v>#N/A</v>
      </c>
      <c r="C19" s="360" t="str">
        <f ca="1">IF(ISERROR($B19),"",OFFSET(PO!$L$15,$B19,0))</f>
        <v/>
      </c>
      <c r="D19" s="358" t="str">
        <f ca="1">IF(ISERROR($B19),"",OFFSET(PO!$L$15,$B19,3))</f>
        <v/>
      </c>
      <c r="E19" s="372">
        <f ca="1">IF(ISERROR($B19),0,OFFSET(PO!$L$15,$B19,9))</f>
        <v>0</v>
      </c>
      <c r="F19" s="114" t="s">
        <v>7</v>
      </c>
      <c r="G19" s="119">
        <f ca="1">G20</f>
        <v>0</v>
      </c>
      <c r="H19" s="119" t="str">
        <f ca="1">IF(MAX($G20:$AT20)=0,"",IF(MATCH(MAX($G20:$AT20),$G20:$AT20,0)&lt;COUNTA($G$12:H$12),"",MAX($G20:H20)-MAX($G20:G20)))</f>
        <v/>
      </c>
      <c r="I19" s="119" t="str">
        <f ca="1">IF(MAX($G20:$AT20)=0,"",IF(MATCH(MAX($G20:$AT20),$G20:$AT20,0)&lt;COUNTA($G$12:I$12),"",MAX($G20:I20)-MAX($G20:H20)))</f>
        <v/>
      </c>
      <c r="J19" s="119" t="str">
        <f ca="1">IF(MAX($G20:$AT20)=0,"",IF(MATCH(MAX($G20:$AT20),$G20:$AT20,0)&lt;COUNTA($G$12:J$12),"",MAX($G20:J20)-MAX($G20:I20)))</f>
        <v/>
      </c>
      <c r="K19" s="119" t="str">
        <f ca="1">IF(MAX($G20:$AT20)=0,"",IF(MATCH(MAX($G20:$AT20),$G20:$AT20,0)&lt;COUNTA($G$12:K$12),"",MAX($G20:K20)-MAX($G20:J20)))</f>
        <v/>
      </c>
      <c r="L19" s="119" t="str">
        <f ca="1">IF(MAX($G20:$AT20)=0,"",IF(MATCH(MAX($G20:$AT20),$G20:$AT20,0)&lt;COUNTA($G$12:L$12),"",MAX($G20:L20)-MAX($G20:K20)))</f>
        <v/>
      </c>
      <c r="M19" s="119" t="str">
        <f ca="1">IF(MAX($G20:$AT20)=0,"",IF(MATCH(MAX($G20:$AT20),$G20:$AT20,0)&lt;COUNTA($G$12:M$12),"",MAX($G20:M20)-MAX($G20:L20)))</f>
        <v/>
      </c>
      <c r="N19" s="119" t="str">
        <f ca="1">IF(MAX($G20:$AT20)=0,"",IF(MATCH(MAX($G20:$AT20),$G20:$AT20,0)&lt;COUNTA($G$12:N$12),"",MAX($G20:N20)-MAX($G20:M20)))</f>
        <v/>
      </c>
      <c r="O19" s="119" t="str">
        <f ca="1">IF(MAX($G20:$AT20)=0,"",IF(MATCH(MAX($G20:$AT20),$G20:$AT20,0)&lt;COUNTA($G$12:O$12),"",MAX($G20:O20)-MAX($G20:N20)))</f>
        <v/>
      </c>
      <c r="P19" s="119" t="str">
        <f ca="1">IF(MAX($G20:$AT20)=0,"",IF(MATCH(MAX($G20:$AT20),$G20:$AT20,0)&lt;COUNTA($G$12:P$12),"",MAX($G20:P20)-MAX($G20:O20)))</f>
        <v/>
      </c>
      <c r="Q19" s="119" t="str">
        <f ca="1">IF(MAX($G20:$AT20)=0,"",IF(MATCH(MAX($G20:$AT20),$G20:$AT20,0)&lt;COUNTA($G$12:Q$12),"",MAX($G20:Q20)-MAX($G20:P20)))</f>
        <v/>
      </c>
      <c r="R19" s="119" t="str">
        <f ca="1">IF(MAX($G20:$AT20)=0,"",IF(MATCH(MAX($G20:$AT20),$G20:$AT20,0)&lt;COUNTA($G$12:R$12),"",MAX($G20:R20)-MAX($G20:Q20)))</f>
        <v/>
      </c>
      <c r="S19" s="119" t="str">
        <f ca="1">IF(MAX($G20:$AT20)=0,"",IF(MATCH(MAX($G20:$AT20),$G20:$AT20,0)&lt;COUNTA($G$12:S$12),"",MAX($G20:S20)-MAX($G20:R20)))</f>
        <v/>
      </c>
      <c r="T19" s="119" t="str">
        <f ca="1">IF(MAX($G20:$AT20)=0,"",IF(MATCH(MAX($G20:$AT20),$G20:$AT20,0)&lt;COUNTA($G$12:T$12),"",MAX($G20:T20)-MAX($G20:S20)))</f>
        <v/>
      </c>
      <c r="U19" s="119" t="str">
        <f ca="1">IF(MAX($G20:$AT20)=0,"",IF(MATCH(MAX($G20:$AT20),$G20:$AT20,0)&lt;COUNTA($G$12:U$12),"",MAX($G20:U20)-MAX($G20:T20)))</f>
        <v/>
      </c>
      <c r="V19" s="119" t="str">
        <f ca="1">IF(MAX($G20:$AT20)=0,"",IF(MATCH(MAX($G20:$AT20),$G20:$AT20,0)&lt;COUNTA($G$12:V$12),"",MAX($G20:V20)-MAX($G20:U20)))</f>
        <v/>
      </c>
      <c r="W19" s="119" t="str">
        <f ca="1">IF(MAX($G20:$AT20)=0,"",IF(MATCH(MAX($G20:$AT20),$G20:$AT20,0)&lt;COUNTA($G$12:W$12),"",MAX($G20:W20)-MAX($G20:V20)))</f>
        <v/>
      </c>
      <c r="X19" s="119" t="str">
        <f ca="1">IF(MAX($G20:$AT20)=0,"",IF(MATCH(MAX($G20:$AT20),$G20:$AT20,0)&lt;COUNTA($G$12:X$12),"",MAX($G20:X20)-MAX($G20:W20)))</f>
        <v/>
      </c>
      <c r="Y19" s="119" t="str">
        <f ca="1">IF(MAX($G20:$AT20)=0,"",IF(MATCH(MAX($G20:$AT20),$G20:$AT20,0)&lt;COUNTA($G$12:Y$12),"",MAX($G20:Y20)-MAX($G20:X20)))</f>
        <v/>
      </c>
      <c r="Z19" s="119" t="str">
        <f ca="1">IF(MAX($G20:$AT20)=0,"",IF(MATCH(MAX($G20:$AT20),$G20:$AT20,0)&lt;COUNTA($G$12:Z$12),"",MAX($G20:Z20)-MAX($G20:Y20)))</f>
        <v/>
      </c>
      <c r="AA19" s="119" t="str">
        <f ca="1">IF(MAX($G20:$AT20)=0,"",IF(MATCH(MAX($G20:$AT20),$G20:$AT20,0)&lt;COUNTA($G$12:AA$12),"",MAX($G20:AA20)-MAX($G20:Z20)))</f>
        <v/>
      </c>
      <c r="AB19" s="119" t="str">
        <f ca="1">IF(MAX($G20:$AT20)=0,"",IF(MATCH(MAX($G20:$AT20),$G20:$AT20,0)&lt;COUNTA($G$12:AB$12),"",MAX($G20:AB20)-MAX($G20:AA20)))</f>
        <v/>
      </c>
      <c r="AC19" s="119" t="str">
        <f ca="1">IF(MAX($G20:$AT20)=0,"",IF(MATCH(MAX($G20:$AT20),$G20:$AT20,0)&lt;COUNTA($G$12:AC$12),"",MAX($G20:AC20)-MAX($G20:AB20)))</f>
        <v/>
      </c>
      <c r="AD19" s="119" t="str">
        <f ca="1">IF(MAX($G20:$AT20)=0,"",IF(MATCH(MAX($G20:$AT20),$G20:$AT20,0)&lt;COUNTA($G$12:AD$12),"",MAX($G20:AD20)-MAX($G20:AC20)))</f>
        <v/>
      </c>
      <c r="AE19" s="119" t="str">
        <f ca="1">IF(MAX($G20:$AT20)=0,"",IF(MATCH(MAX($G20:$AT20),$G20:$AT20,0)&lt;COUNTA($G$12:AE$12),"",MAX($G20:AE20)-MAX($G20:AD20)))</f>
        <v/>
      </c>
      <c r="AF19" s="119" t="str">
        <f ca="1">IF(MAX($G20:$AT20)=0,"",IF(MATCH(MAX($G20:$AT20),$G20:$AT20,0)&lt;COUNTA($G$12:AF$12),"",MAX($G20:AF20)-MAX($G20:AE20)))</f>
        <v/>
      </c>
      <c r="AG19" s="119" t="str">
        <f ca="1">IF(MAX($G20:$AT20)=0,"",IF(MATCH(MAX($G20:$AT20),$G20:$AT20,0)&lt;COUNTA($G$12:AG$12),"",MAX($G20:AG20)-MAX($G20:AF20)))</f>
        <v/>
      </c>
      <c r="AH19" s="119" t="str">
        <f ca="1">IF(MAX($G20:$AT20)=0,"",IF(MATCH(MAX($G20:$AT20),$G20:$AT20,0)&lt;COUNTA($G$12:AH$12),"",MAX($G20:AH20)-MAX($G20:AG20)))</f>
        <v/>
      </c>
      <c r="AI19" s="119" t="str">
        <f ca="1">IF(MAX($G20:$AT20)=0,"",IF(MATCH(MAX($G20:$AT20),$G20:$AT20,0)&lt;COUNTA($G$12:AI$12),"",MAX($G20:AI20)-MAX($G20:AH20)))</f>
        <v/>
      </c>
      <c r="AJ19" s="119" t="str">
        <f ca="1">IF(MAX($G20:$AT20)=0,"",IF(MATCH(MAX($G20:$AT20),$G20:$AT20,0)&lt;COUNTA($G$12:AJ$12),"",MAX($G20:AJ20)-MAX($G20:AI20)))</f>
        <v/>
      </c>
      <c r="AK19" s="119" t="str">
        <f ca="1">IF(MAX($G20:$AT20)=0,"",IF(MATCH(MAX($G20:$AT20),$G20:$AT20,0)&lt;COUNTA($G$12:AK$12),"",MAX($G20:AK20)-MAX($G20:AJ20)))</f>
        <v/>
      </c>
      <c r="AL19" s="119" t="str">
        <f ca="1">IF(MAX($G20:$AT20)=0,"",IF(MATCH(MAX($G20:$AT20),$G20:$AT20,0)&lt;COUNTA($G$12:AL$12),"",MAX($G20:AL20)-MAX($G20:AK20)))</f>
        <v/>
      </c>
      <c r="AM19" s="119" t="str">
        <f ca="1">IF(MAX($G20:$AT20)=0,"",IF(MATCH(MAX($G20:$AT20),$G20:$AT20,0)&lt;COUNTA($G$12:AM$12),"",MAX($G20:AM20)-MAX($G20:AL20)))</f>
        <v/>
      </c>
      <c r="AN19" s="119" t="str">
        <f ca="1">IF(MAX($G20:$AT20)=0,"",IF(MATCH(MAX($G20:$AT20),$G20:$AT20,0)&lt;COUNTA($G$12:AN$12),"",MAX($G20:AN20)-MAX($G20:AM20)))</f>
        <v/>
      </c>
      <c r="AO19" s="119" t="str">
        <f ca="1">IF(MAX($G20:$AT20)=0,"",IF(MATCH(MAX($G20:$AT20),$G20:$AT20,0)&lt;COUNTA($G$12:AO$12),"",MAX($G20:AO20)-MAX($G20:AN20)))</f>
        <v/>
      </c>
      <c r="AP19" s="119" t="str">
        <f ca="1">IF(MAX($G20:$AT20)=0,"",IF(MATCH(MAX($G20:$AT20),$G20:$AT20,0)&lt;COUNTA($G$12:AP$12),"",MAX($G20:AP20)-MAX($G20:AO20)))</f>
        <v/>
      </c>
      <c r="AQ19" s="119" t="str">
        <f ca="1">IF(MAX($G20:$AT20)=0,"",IF(MATCH(MAX($G20:$AT20),$G20:$AT20,0)&lt;COUNTA($G$12:AQ$12),"",MAX($G20:AQ20)-MAX($G20:AP20)))</f>
        <v/>
      </c>
      <c r="AR19" s="119" t="str">
        <f ca="1">IF(MAX($G20:$AT20)=0,"",IF(MATCH(MAX($G20:$AT20),$G20:$AT20,0)&lt;COUNTA($G$12:AR$12),"",MAX($G20:AR20)-MAX($G20:AQ20)))</f>
        <v/>
      </c>
      <c r="AS19" s="119" t="str">
        <f ca="1">IF(MAX($G20:$AT20)=0,"",IF(MATCH(MAX($G20:$AT20),$G20:$AT20,0)&lt;COUNTA($G$12:AS$12),"",MAX($G20:AS20)-MAX($G20:AR20)))</f>
        <v/>
      </c>
      <c r="AT19" s="120" t="str">
        <f ca="1">IF(MAX($G20:$AT20)=0,"",IF(MATCH(MAX($G20:$AT20),$G20:$AT20,0)&lt;COUNTA($G$12:AT$12),"",MAX($G20:AT20)-MAX($G20:AS20)))</f>
        <v/>
      </c>
      <c r="AY19" s="68"/>
    </row>
    <row r="20" spans="1:51" s="67" customFormat="1" ht="12.75" customHeight="1" x14ac:dyDescent="0.2">
      <c r="A20" s="108"/>
      <c r="B20" s="108"/>
      <c r="C20" s="361"/>
      <c r="D20" s="359"/>
      <c r="E20" s="367"/>
      <c r="F20" s="111" t="s">
        <v>9</v>
      </c>
      <c r="G20" s="112">
        <f ca="1">IF(ISNUMBER(VALUE($C19)),SUMPRODUCT(OFFSET(G20,2,0,COUNTIF($C$13:$C$42,$C19&amp;".*")*2-1),OFFSET($E19,2,0,COUNTIF($C$13:$C$42,$C19&amp;".*")*2-1))/$E19,0)</f>
        <v>0</v>
      </c>
      <c r="H20" s="112">
        <f t="shared" ref="H20:AT20" ca="1" si="4">IF(ISNUMBER(VALUE($C19)),SUMPRODUCT(OFFSET(H20,2,0,COUNTIF($C$13:$C$42,$C19&amp;".*")*2-1),OFFSET($E19,2,0,COUNTIF($C$13:$C$42,$C19&amp;".*")*2-1))/$E19,G20)</f>
        <v>0</v>
      </c>
      <c r="I20" s="112">
        <f t="shared" ca="1" si="4"/>
        <v>0</v>
      </c>
      <c r="J20" s="112">
        <f t="shared" ca="1" si="4"/>
        <v>0</v>
      </c>
      <c r="K20" s="112">
        <f t="shared" ca="1" si="4"/>
        <v>0</v>
      </c>
      <c r="L20" s="112">
        <f t="shared" ca="1" si="4"/>
        <v>0</v>
      </c>
      <c r="M20" s="112">
        <f t="shared" ca="1" si="4"/>
        <v>0</v>
      </c>
      <c r="N20" s="112">
        <f t="shared" ca="1" si="4"/>
        <v>0</v>
      </c>
      <c r="O20" s="112">
        <f t="shared" ca="1" si="4"/>
        <v>0</v>
      </c>
      <c r="P20" s="112">
        <f t="shared" ca="1" si="4"/>
        <v>0</v>
      </c>
      <c r="Q20" s="112">
        <f t="shared" ca="1" si="4"/>
        <v>0</v>
      </c>
      <c r="R20" s="112">
        <f t="shared" ca="1" si="4"/>
        <v>0</v>
      </c>
      <c r="S20" s="112">
        <f t="shared" ca="1" si="4"/>
        <v>0</v>
      </c>
      <c r="T20" s="112">
        <f t="shared" ca="1" si="4"/>
        <v>0</v>
      </c>
      <c r="U20" s="112">
        <f t="shared" ca="1" si="4"/>
        <v>0</v>
      </c>
      <c r="V20" s="112">
        <f t="shared" ca="1" si="4"/>
        <v>0</v>
      </c>
      <c r="W20" s="112">
        <f t="shared" ca="1" si="4"/>
        <v>0</v>
      </c>
      <c r="X20" s="112">
        <f t="shared" ca="1" si="4"/>
        <v>0</v>
      </c>
      <c r="Y20" s="112">
        <f t="shared" ca="1" si="4"/>
        <v>0</v>
      </c>
      <c r="Z20" s="112">
        <f t="shared" ca="1" si="4"/>
        <v>0</v>
      </c>
      <c r="AA20" s="112">
        <f t="shared" ca="1" si="4"/>
        <v>0</v>
      </c>
      <c r="AB20" s="112">
        <f t="shared" ca="1" si="4"/>
        <v>0</v>
      </c>
      <c r="AC20" s="112">
        <f t="shared" ca="1" si="4"/>
        <v>0</v>
      </c>
      <c r="AD20" s="112">
        <f t="shared" ca="1" si="4"/>
        <v>0</v>
      </c>
      <c r="AE20" s="112">
        <f t="shared" ca="1" si="4"/>
        <v>0</v>
      </c>
      <c r="AF20" s="112">
        <f t="shared" ca="1" si="4"/>
        <v>0</v>
      </c>
      <c r="AG20" s="112">
        <f t="shared" ca="1" si="4"/>
        <v>0</v>
      </c>
      <c r="AH20" s="112">
        <f t="shared" ca="1" si="4"/>
        <v>0</v>
      </c>
      <c r="AI20" s="112">
        <f t="shared" ca="1" si="4"/>
        <v>0</v>
      </c>
      <c r="AJ20" s="112">
        <f t="shared" ca="1" si="4"/>
        <v>0</v>
      </c>
      <c r="AK20" s="112">
        <f t="shared" ca="1" si="4"/>
        <v>0</v>
      </c>
      <c r="AL20" s="112">
        <f t="shared" ca="1" si="4"/>
        <v>0</v>
      </c>
      <c r="AM20" s="112">
        <f t="shared" ca="1" si="4"/>
        <v>0</v>
      </c>
      <c r="AN20" s="112">
        <f t="shared" ca="1" si="4"/>
        <v>0</v>
      </c>
      <c r="AO20" s="112">
        <f t="shared" ca="1" si="4"/>
        <v>0</v>
      </c>
      <c r="AP20" s="112">
        <f t="shared" ca="1" si="4"/>
        <v>0</v>
      </c>
      <c r="AQ20" s="112">
        <f t="shared" ca="1" si="4"/>
        <v>0</v>
      </c>
      <c r="AR20" s="112">
        <f t="shared" ca="1" si="4"/>
        <v>0</v>
      </c>
      <c r="AS20" s="112">
        <f t="shared" ca="1" si="4"/>
        <v>0</v>
      </c>
      <c r="AT20" s="113">
        <f t="shared" ca="1" si="4"/>
        <v>0</v>
      </c>
      <c r="AY20" s="68"/>
    </row>
    <row r="21" spans="1:51" s="67" customFormat="1" ht="12.75" customHeight="1" x14ac:dyDescent="0.2">
      <c r="A21" s="108">
        <f ca="1">OFFSET(A21,-2,0)+1</f>
        <v>5</v>
      </c>
      <c r="B21" s="108" t="e">
        <f ca="1">MATCH(A21,OFFSET(PO!$W$15,0,0,PO!$J$15),0)-1</f>
        <v>#N/A</v>
      </c>
      <c r="C21" s="365" t="str">
        <f ca="1">IF(ISERROR($B21),"",OFFSET(PO!$L$15,$B21,0))</f>
        <v/>
      </c>
      <c r="D21" s="371" t="str">
        <f ca="1">IF(ISERROR($B21),"",OFFSET(PO!$L$15,$B21,3))</f>
        <v/>
      </c>
      <c r="E21" s="366">
        <f ca="1">IF(ISERROR($B21),0,OFFSET(PO!$L$15,$B21,9))</f>
        <v>0</v>
      </c>
      <c r="F21" s="109" t="s">
        <v>7</v>
      </c>
      <c r="G21" s="121">
        <f ca="1">G22</f>
        <v>0</v>
      </c>
      <c r="H21" s="121" t="str">
        <f ca="1">IF(MAX($G22:$AT22)=0,"",IF(MATCH(MAX($G22:$AT22),$G22:$AT22,0)&lt;COUNTA($G$12:H$12),"",MAX($G22:H22)-MAX($G22:G22)))</f>
        <v/>
      </c>
      <c r="I21" s="121" t="str">
        <f ca="1">IF(MAX($G22:$AT22)=0,"",IF(MATCH(MAX($G22:$AT22),$G22:$AT22,0)&lt;COUNTA($G$12:I$12),"",MAX($G22:I22)-MAX($G22:H22)))</f>
        <v/>
      </c>
      <c r="J21" s="121" t="str">
        <f ca="1">IF(MAX($G22:$AT22)=0,"",IF(MATCH(MAX($G22:$AT22),$G22:$AT22,0)&lt;COUNTA($G$12:J$12),"",MAX($G22:J22)-MAX($G22:I22)))</f>
        <v/>
      </c>
      <c r="K21" s="121" t="str">
        <f ca="1">IF(MAX($G22:$AT22)=0,"",IF(MATCH(MAX($G22:$AT22),$G22:$AT22,0)&lt;COUNTA($G$12:K$12),"",MAX($G22:K22)-MAX($G22:J22)))</f>
        <v/>
      </c>
      <c r="L21" s="121" t="str">
        <f ca="1">IF(MAX($G22:$AT22)=0,"",IF(MATCH(MAX($G22:$AT22),$G22:$AT22,0)&lt;COUNTA($G$12:L$12),"",MAX($G22:L22)-MAX($G22:K22)))</f>
        <v/>
      </c>
      <c r="M21" s="121" t="str">
        <f ca="1">IF(MAX($G22:$AT22)=0,"",IF(MATCH(MAX($G22:$AT22),$G22:$AT22,0)&lt;COUNTA($G$12:M$12),"",MAX($G22:M22)-MAX($G22:L22)))</f>
        <v/>
      </c>
      <c r="N21" s="121" t="str">
        <f ca="1">IF(MAX($G22:$AT22)=0,"",IF(MATCH(MAX($G22:$AT22),$G22:$AT22,0)&lt;COUNTA($G$12:N$12),"",MAX($G22:N22)-MAX($G22:M22)))</f>
        <v/>
      </c>
      <c r="O21" s="121" t="str">
        <f ca="1">IF(MAX($G22:$AT22)=0,"",IF(MATCH(MAX($G22:$AT22),$G22:$AT22,0)&lt;COUNTA($G$12:O$12),"",MAX($G22:O22)-MAX($G22:N22)))</f>
        <v/>
      </c>
      <c r="P21" s="121" t="str">
        <f ca="1">IF(MAX($G22:$AT22)=0,"",IF(MATCH(MAX($G22:$AT22),$G22:$AT22,0)&lt;COUNTA($G$12:P$12),"",MAX($G22:P22)-MAX($G22:O22)))</f>
        <v/>
      </c>
      <c r="Q21" s="121" t="str">
        <f ca="1">IF(MAX($G22:$AT22)=0,"",IF(MATCH(MAX($G22:$AT22),$G22:$AT22,0)&lt;COUNTA($G$12:Q$12),"",MAX($G22:Q22)-MAX($G22:P22)))</f>
        <v/>
      </c>
      <c r="R21" s="121" t="str">
        <f ca="1">IF(MAX($G22:$AT22)=0,"",IF(MATCH(MAX($G22:$AT22),$G22:$AT22,0)&lt;COUNTA($G$12:R$12),"",MAX($G22:R22)-MAX($G22:Q22)))</f>
        <v/>
      </c>
      <c r="S21" s="121" t="str">
        <f ca="1">IF(MAX($G22:$AT22)=0,"",IF(MATCH(MAX($G22:$AT22),$G22:$AT22,0)&lt;COUNTA($G$12:S$12),"",MAX($G22:S22)-MAX($G22:R22)))</f>
        <v/>
      </c>
      <c r="T21" s="121" t="str">
        <f ca="1">IF(MAX($G22:$AT22)=0,"",IF(MATCH(MAX($G22:$AT22),$G22:$AT22,0)&lt;COUNTA($G$12:T$12),"",MAX($G22:T22)-MAX($G22:S22)))</f>
        <v/>
      </c>
      <c r="U21" s="121" t="str">
        <f ca="1">IF(MAX($G22:$AT22)=0,"",IF(MATCH(MAX($G22:$AT22),$G22:$AT22,0)&lt;COUNTA($G$12:U$12),"",MAX($G22:U22)-MAX($G22:T22)))</f>
        <v/>
      </c>
      <c r="V21" s="121" t="str">
        <f ca="1">IF(MAX($G22:$AT22)=0,"",IF(MATCH(MAX($G22:$AT22),$G22:$AT22,0)&lt;COUNTA($G$12:V$12),"",MAX($G22:V22)-MAX($G22:U22)))</f>
        <v/>
      </c>
      <c r="W21" s="121" t="str">
        <f ca="1">IF(MAX($G22:$AT22)=0,"",IF(MATCH(MAX($G22:$AT22),$G22:$AT22,0)&lt;COUNTA($G$12:W$12),"",MAX($G22:W22)-MAX($G22:V22)))</f>
        <v/>
      </c>
      <c r="X21" s="121" t="str">
        <f ca="1">IF(MAX($G22:$AT22)=0,"",IF(MATCH(MAX($G22:$AT22),$G22:$AT22,0)&lt;COUNTA($G$12:X$12),"",MAX($G22:X22)-MAX($G22:W22)))</f>
        <v/>
      </c>
      <c r="Y21" s="121" t="str">
        <f ca="1">IF(MAX($G22:$AT22)=0,"",IF(MATCH(MAX($G22:$AT22),$G22:$AT22,0)&lt;COUNTA($G$12:Y$12),"",MAX($G22:Y22)-MAX($G22:X22)))</f>
        <v/>
      </c>
      <c r="Z21" s="121" t="str">
        <f ca="1">IF(MAX($G22:$AT22)=0,"",IF(MATCH(MAX($G22:$AT22),$G22:$AT22,0)&lt;COUNTA($G$12:Z$12),"",MAX($G22:Z22)-MAX($G22:Y22)))</f>
        <v/>
      </c>
      <c r="AA21" s="121" t="str">
        <f ca="1">IF(MAX($G22:$AT22)=0,"",IF(MATCH(MAX($G22:$AT22),$G22:$AT22,0)&lt;COUNTA($G$12:AA$12),"",MAX($G22:AA22)-MAX($G22:Z22)))</f>
        <v/>
      </c>
      <c r="AB21" s="121" t="str">
        <f ca="1">IF(MAX($G22:$AT22)=0,"",IF(MATCH(MAX($G22:$AT22),$G22:$AT22,0)&lt;COUNTA($G$12:AB$12),"",MAX($G22:AB22)-MAX($G22:AA22)))</f>
        <v/>
      </c>
      <c r="AC21" s="121" t="str">
        <f ca="1">IF(MAX($G22:$AT22)=0,"",IF(MATCH(MAX($G22:$AT22),$G22:$AT22,0)&lt;COUNTA($G$12:AC$12),"",MAX($G22:AC22)-MAX($G22:AB22)))</f>
        <v/>
      </c>
      <c r="AD21" s="121" t="str">
        <f ca="1">IF(MAX($G22:$AT22)=0,"",IF(MATCH(MAX($G22:$AT22),$G22:$AT22,0)&lt;COUNTA($G$12:AD$12),"",MAX($G22:AD22)-MAX($G22:AC22)))</f>
        <v/>
      </c>
      <c r="AE21" s="121" t="str">
        <f ca="1">IF(MAX($G22:$AT22)=0,"",IF(MATCH(MAX($G22:$AT22),$G22:$AT22,0)&lt;COUNTA($G$12:AE$12),"",MAX($G22:AE22)-MAX($G22:AD22)))</f>
        <v/>
      </c>
      <c r="AF21" s="121" t="str">
        <f ca="1">IF(MAX($G22:$AT22)=0,"",IF(MATCH(MAX($G22:$AT22),$G22:$AT22,0)&lt;COUNTA($G$12:AF$12),"",MAX($G22:AF22)-MAX($G22:AE22)))</f>
        <v/>
      </c>
      <c r="AG21" s="121" t="str">
        <f ca="1">IF(MAX($G22:$AT22)=0,"",IF(MATCH(MAX($G22:$AT22),$G22:$AT22,0)&lt;COUNTA($G$12:AG$12),"",MAX($G22:AG22)-MAX($G22:AF22)))</f>
        <v/>
      </c>
      <c r="AH21" s="121" t="str">
        <f ca="1">IF(MAX($G22:$AT22)=0,"",IF(MATCH(MAX($G22:$AT22),$G22:$AT22,0)&lt;COUNTA($G$12:AH$12),"",MAX($G22:AH22)-MAX($G22:AG22)))</f>
        <v/>
      </c>
      <c r="AI21" s="121" t="str">
        <f ca="1">IF(MAX($G22:$AT22)=0,"",IF(MATCH(MAX($G22:$AT22),$G22:$AT22,0)&lt;COUNTA($G$12:AI$12),"",MAX($G22:AI22)-MAX($G22:AH22)))</f>
        <v/>
      </c>
      <c r="AJ21" s="121" t="str">
        <f ca="1">IF(MAX($G22:$AT22)=0,"",IF(MATCH(MAX($G22:$AT22),$G22:$AT22,0)&lt;COUNTA($G$12:AJ$12),"",MAX($G22:AJ22)-MAX($G22:AI22)))</f>
        <v/>
      </c>
      <c r="AK21" s="121" t="str">
        <f ca="1">IF(MAX($G22:$AT22)=0,"",IF(MATCH(MAX($G22:$AT22),$G22:$AT22,0)&lt;COUNTA($G$12:AK$12),"",MAX($G22:AK22)-MAX($G22:AJ22)))</f>
        <v/>
      </c>
      <c r="AL21" s="121" t="str">
        <f ca="1">IF(MAX($G22:$AT22)=0,"",IF(MATCH(MAX($G22:$AT22),$G22:$AT22,0)&lt;COUNTA($G$12:AL$12),"",MAX($G22:AL22)-MAX($G22:AK22)))</f>
        <v/>
      </c>
      <c r="AM21" s="121" t="str">
        <f ca="1">IF(MAX($G22:$AT22)=0,"",IF(MATCH(MAX($G22:$AT22),$G22:$AT22,0)&lt;COUNTA($G$12:AM$12),"",MAX($G22:AM22)-MAX($G22:AL22)))</f>
        <v/>
      </c>
      <c r="AN21" s="121" t="str">
        <f ca="1">IF(MAX($G22:$AT22)=0,"",IF(MATCH(MAX($G22:$AT22),$G22:$AT22,0)&lt;COUNTA($G$12:AN$12),"",MAX($G22:AN22)-MAX($G22:AM22)))</f>
        <v/>
      </c>
      <c r="AO21" s="121" t="str">
        <f ca="1">IF(MAX($G22:$AT22)=0,"",IF(MATCH(MAX($G22:$AT22),$G22:$AT22,0)&lt;COUNTA($G$12:AO$12),"",MAX($G22:AO22)-MAX($G22:AN22)))</f>
        <v/>
      </c>
      <c r="AP21" s="121" t="str">
        <f ca="1">IF(MAX($G22:$AT22)=0,"",IF(MATCH(MAX($G22:$AT22),$G22:$AT22,0)&lt;COUNTA($G$12:AP$12),"",MAX($G22:AP22)-MAX($G22:AO22)))</f>
        <v/>
      </c>
      <c r="AQ21" s="121" t="str">
        <f ca="1">IF(MAX($G22:$AT22)=0,"",IF(MATCH(MAX($G22:$AT22),$G22:$AT22,0)&lt;COUNTA($G$12:AQ$12),"",MAX($G22:AQ22)-MAX($G22:AP22)))</f>
        <v/>
      </c>
      <c r="AR21" s="121" t="str">
        <f ca="1">IF(MAX($G22:$AT22)=0,"",IF(MATCH(MAX($G22:$AT22),$G22:$AT22,0)&lt;COUNTA($G$12:AR$12),"",MAX($G22:AR22)-MAX($G22:AQ22)))</f>
        <v/>
      </c>
      <c r="AS21" s="121" t="str">
        <f ca="1">IF(MAX($G22:$AT22)=0,"",IF(MATCH(MAX($G22:$AT22),$G22:$AT22,0)&lt;COUNTA($G$12:AS$12),"",MAX($G22:AS22)-MAX($G22:AR22)))</f>
        <v/>
      </c>
      <c r="AT21" s="122" t="str">
        <f ca="1">IF(MAX($G22:$AT22)=0,"",IF(MATCH(MAX($G22:$AT22),$G22:$AT22,0)&lt;COUNTA($G$12:AT$12),"",MAX($G22:AT22)-MAX($G22:AS22)))</f>
        <v/>
      </c>
      <c r="AY21" s="68"/>
    </row>
    <row r="22" spans="1:51" s="67" customFormat="1" ht="12.75" customHeight="1" x14ac:dyDescent="0.2">
      <c r="A22" s="108"/>
      <c r="B22" s="108"/>
      <c r="C22" s="361"/>
      <c r="D22" s="359"/>
      <c r="E22" s="367"/>
      <c r="F22" s="111" t="s">
        <v>9</v>
      </c>
      <c r="G22" s="112">
        <f ca="1">IF(ISNUMBER(VALUE($C21)),SUMPRODUCT(OFFSET(G22,2,0,COUNTIF($C$13:$C$42,$C21&amp;".*")*2-1),OFFSET($E21,2,0,COUNTIF($C$13:$C$42,$C21&amp;".*")*2-1))/$E21,0)</f>
        <v>0</v>
      </c>
      <c r="H22" s="112">
        <f t="shared" ref="H22:AT22" ca="1" si="5">IF(ISNUMBER(VALUE($C21)),SUMPRODUCT(OFFSET(H22,2,0,COUNTIF($C$13:$C$42,$C21&amp;".*")*2-1),OFFSET($E21,2,0,COUNTIF($C$13:$C$42,$C21&amp;".*")*2-1))/$E21,G22)</f>
        <v>0</v>
      </c>
      <c r="I22" s="112">
        <f t="shared" ca="1" si="5"/>
        <v>0</v>
      </c>
      <c r="J22" s="112">
        <f t="shared" ca="1" si="5"/>
        <v>0</v>
      </c>
      <c r="K22" s="112">
        <f t="shared" ca="1" si="5"/>
        <v>0</v>
      </c>
      <c r="L22" s="112">
        <f t="shared" ca="1" si="5"/>
        <v>0</v>
      </c>
      <c r="M22" s="112">
        <f t="shared" ca="1" si="5"/>
        <v>0</v>
      </c>
      <c r="N22" s="112">
        <f t="shared" ca="1" si="5"/>
        <v>0</v>
      </c>
      <c r="O22" s="112">
        <f t="shared" ca="1" si="5"/>
        <v>0</v>
      </c>
      <c r="P22" s="112">
        <f t="shared" ca="1" si="5"/>
        <v>0</v>
      </c>
      <c r="Q22" s="112">
        <f t="shared" ca="1" si="5"/>
        <v>0</v>
      </c>
      <c r="R22" s="112">
        <f t="shared" ca="1" si="5"/>
        <v>0</v>
      </c>
      <c r="S22" s="112">
        <f t="shared" ca="1" si="5"/>
        <v>0</v>
      </c>
      <c r="T22" s="112">
        <f t="shared" ca="1" si="5"/>
        <v>0</v>
      </c>
      <c r="U22" s="112">
        <f t="shared" ca="1" si="5"/>
        <v>0</v>
      </c>
      <c r="V22" s="112">
        <f t="shared" ca="1" si="5"/>
        <v>0</v>
      </c>
      <c r="W22" s="112">
        <f t="shared" ca="1" si="5"/>
        <v>0</v>
      </c>
      <c r="X22" s="112">
        <f t="shared" ca="1" si="5"/>
        <v>0</v>
      </c>
      <c r="Y22" s="112">
        <f t="shared" ca="1" si="5"/>
        <v>0</v>
      </c>
      <c r="Z22" s="112">
        <f t="shared" ca="1" si="5"/>
        <v>0</v>
      </c>
      <c r="AA22" s="112">
        <f t="shared" ca="1" si="5"/>
        <v>0</v>
      </c>
      <c r="AB22" s="112">
        <f t="shared" ca="1" si="5"/>
        <v>0</v>
      </c>
      <c r="AC22" s="112">
        <f t="shared" ca="1" si="5"/>
        <v>0</v>
      </c>
      <c r="AD22" s="112">
        <f t="shared" ca="1" si="5"/>
        <v>0</v>
      </c>
      <c r="AE22" s="112">
        <f t="shared" ca="1" si="5"/>
        <v>0</v>
      </c>
      <c r="AF22" s="112">
        <f t="shared" ca="1" si="5"/>
        <v>0</v>
      </c>
      <c r="AG22" s="112">
        <f t="shared" ca="1" si="5"/>
        <v>0</v>
      </c>
      <c r="AH22" s="112">
        <f t="shared" ca="1" si="5"/>
        <v>0</v>
      </c>
      <c r="AI22" s="112">
        <f t="shared" ca="1" si="5"/>
        <v>0</v>
      </c>
      <c r="AJ22" s="112">
        <f t="shared" ca="1" si="5"/>
        <v>0</v>
      </c>
      <c r="AK22" s="112">
        <f t="shared" ca="1" si="5"/>
        <v>0</v>
      </c>
      <c r="AL22" s="112">
        <f t="shared" ca="1" si="5"/>
        <v>0</v>
      </c>
      <c r="AM22" s="112">
        <f t="shared" ca="1" si="5"/>
        <v>0</v>
      </c>
      <c r="AN22" s="112">
        <f t="shared" ca="1" si="5"/>
        <v>0</v>
      </c>
      <c r="AO22" s="112">
        <f t="shared" ca="1" si="5"/>
        <v>0</v>
      </c>
      <c r="AP22" s="112">
        <f t="shared" ca="1" si="5"/>
        <v>0</v>
      </c>
      <c r="AQ22" s="112">
        <f t="shared" ca="1" si="5"/>
        <v>0</v>
      </c>
      <c r="AR22" s="112">
        <f t="shared" ca="1" si="5"/>
        <v>0</v>
      </c>
      <c r="AS22" s="112">
        <f t="shared" ca="1" si="5"/>
        <v>0</v>
      </c>
      <c r="AT22" s="113">
        <f t="shared" ca="1" si="5"/>
        <v>0</v>
      </c>
      <c r="AY22" s="68"/>
    </row>
    <row r="23" spans="1:51" s="67" customFormat="1" ht="12.75" customHeight="1" x14ac:dyDescent="0.2">
      <c r="A23" s="108">
        <f ca="1">OFFSET(A23,-2,0)+1</f>
        <v>6</v>
      </c>
      <c r="B23" s="108" t="e">
        <f ca="1">MATCH(A23,OFFSET(PO!$W$15,0,0,PO!$J$15),0)-1</f>
        <v>#N/A</v>
      </c>
      <c r="C23" s="360" t="str">
        <f ca="1">IF(ISERROR($B23),"",OFFSET(PO!$L$15,$B23,0))</f>
        <v/>
      </c>
      <c r="D23" s="358" t="str">
        <f ca="1">IF(ISERROR($B23),"",OFFSET(PO!$L$15,$B23,3))</f>
        <v/>
      </c>
      <c r="E23" s="372">
        <f ca="1">IF(ISERROR($B23),0,OFFSET(PO!$L$15,$B23,9))</f>
        <v>0</v>
      </c>
      <c r="F23" s="114" t="s">
        <v>7</v>
      </c>
      <c r="G23" s="119">
        <f ca="1">G24</f>
        <v>0</v>
      </c>
      <c r="H23" s="119" t="str">
        <f ca="1">IF(MAX($G24:$AT24)=0,"",IF(MATCH(MAX($G24:$AT24),$G24:$AT24,0)&lt;COUNTA($G$12:H$12),"",MAX($G24:H24)-MAX($G24:G24)))</f>
        <v/>
      </c>
      <c r="I23" s="119" t="str">
        <f ca="1">IF(MAX($G24:$AT24)=0,"",IF(MATCH(MAX($G24:$AT24),$G24:$AT24,0)&lt;COUNTA($G$12:I$12),"",MAX($G24:I24)-MAX($G24:H24)))</f>
        <v/>
      </c>
      <c r="J23" s="119" t="str">
        <f ca="1">IF(MAX($G24:$AT24)=0,"",IF(MATCH(MAX($G24:$AT24),$G24:$AT24,0)&lt;COUNTA($G$12:J$12),"",MAX($G24:J24)-MAX($G24:I24)))</f>
        <v/>
      </c>
      <c r="K23" s="119" t="str">
        <f ca="1">IF(MAX($G24:$AT24)=0,"",IF(MATCH(MAX($G24:$AT24),$G24:$AT24,0)&lt;COUNTA($G$12:K$12),"",MAX($G24:K24)-MAX($G24:J24)))</f>
        <v/>
      </c>
      <c r="L23" s="119" t="str">
        <f ca="1">IF(MAX($G24:$AT24)=0,"",IF(MATCH(MAX($G24:$AT24),$G24:$AT24,0)&lt;COUNTA($G$12:L$12),"",MAX($G24:L24)-MAX($G24:K24)))</f>
        <v/>
      </c>
      <c r="M23" s="119" t="str">
        <f ca="1">IF(MAX($G24:$AT24)=0,"",IF(MATCH(MAX($G24:$AT24),$G24:$AT24,0)&lt;COUNTA($G$12:M$12),"",MAX($G24:M24)-MAX($G24:L24)))</f>
        <v/>
      </c>
      <c r="N23" s="119" t="str">
        <f ca="1">IF(MAX($G24:$AT24)=0,"",IF(MATCH(MAX($G24:$AT24),$G24:$AT24,0)&lt;COUNTA($G$12:N$12),"",MAX($G24:N24)-MAX($G24:M24)))</f>
        <v/>
      </c>
      <c r="O23" s="119" t="str">
        <f ca="1">IF(MAX($G24:$AT24)=0,"",IF(MATCH(MAX($G24:$AT24),$G24:$AT24,0)&lt;COUNTA($G$12:O$12),"",MAX($G24:O24)-MAX($G24:N24)))</f>
        <v/>
      </c>
      <c r="P23" s="119" t="str">
        <f ca="1">IF(MAX($G24:$AT24)=0,"",IF(MATCH(MAX($G24:$AT24),$G24:$AT24,0)&lt;COUNTA($G$12:P$12),"",MAX($G24:P24)-MAX($G24:O24)))</f>
        <v/>
      </c>
      <c r="Q23" s="119" t="str">
        <f ca="1">IF(MAX($G24:$AT24)=0,"",IF(MATCH(MAX($G24:$AT24),$G24:$AT24,0)&lt;COUNTA($G$12:Q$12),"",MAX($G24:Q24)-MAX($G24:P24)))</f>
        <v/>
      </c>
      <c r="R23" s="119" t="str">
        <f ca="1">IF(MAX($G24:$AT24)=0,"",IF(MATCH(MAX($G24:$AT24),$G24:$AT24,0)&lt;COUNTA($G$12:R$12),"",MAX($G24:R24)-MAX($G24:Q24)))</f>
        <v/>
      </c>
      <c r="S23" s="119" t="str">
        <f ca="1">IF(MAX($G24:$AT24)=0,"",IF(MATCH(MAX($G24:$AT24),$G24:$AT24,0)&lt;COUNTA($G$12:S$12),"",MAX($G24:S24)-MAX($G24:R24)))</f>
        <v/>
      </c>
      <c r="T23" s="119" t="str">
        <f ca="1">IF(MAX($G24:$AT24)=0,"",IF(MATCH(MAX($G24:$AT24),$G24:$AT24,0)&lt;COUNTA($G$12:T$12),"",MAX($G24:T24)-MAX($G24:S24)))</f>
        <v/>
      </c>
      <c r="U23" s="119" t="str">
        <f ca="1">IF(MAX($G24:$AT24)=0,"",IF(MATCH(MAX($G24:$AT24),$G24:$AT24,0)&lt;COUNTA($G$12:U$12),"",MAX($G24:U24)-MAX($G24:T24)))</f>
        <v/>
      </c>
      <c r="V23" s="119" t="str">
        <f ca="1">IF(MAX($G24:$AT24)=0,"",IF(MATCH(MAX($G24:$AT24),$G24:$AT24,0)&lt;COUNTA($G$12:V$12),"",MAX($G24:V24)-MAX($G24:U24)))</f>
        <v/>
      </c>
      <c r="W23" s="119" t="str">
        <f ca="1">IF(MAX($G24:$AT24)=0,"",IF(MATCH(MAX($G24:$AT24),$G24:$AT24,0)&lt;COUNTA($G$12:W$12),"",MAX($G24:W24)-MAX($G24:V24)))</f>
        <v/>
      </c>
      <c r="X23" s="119" t="str">
        <f ca="1">IF(MAX($G24:$AT24)=0,"",IF(MATCH(MAX($G24:$AT24),$G24:$AT24,0)&lt;COUNTA($G$12:X$12),"",MAX($G24:X24)-MAX($G24:W24)))</f>
        <v/>
      </c>
      <c r="Y23" s="119" t="str">
        <f ca="1">IF(MAX($G24:$AT24)=0,"",IF(MATCH(MAX($G24:$AT24),$G24:$AT24,0)&lt;COUNTA($G$12:Y$12),"",MAX($G24:Y24)-MAX($G24:X24)))</f>
        <v/>
      </c>
      <c r="Z23" s="119" t="str">
        <f ca="1">IF(MAX($G24:$AT24)=0,"",IF(MATCH(MAX($G24:$AT24),$G24:$AT24,0)&lt;COUNTA($G$12:Z$12),"",MAX($G24:Z24)-MAX($G24:Y24)))</f>
        <v/>
      </c>
      <c r="AA23" s="119" t="str">
        <f ca="1">IF(MAX($G24:$AT24)=0,"",IF(MATCH(MAX($G24:$AT24),$G24:$AT24,0)&lt;COUNTA($G$12:AA$12),"",MAX($G24:AA24)-MAX($G24:Z24)))</f>
        <v/>
      </c>
      <c r="AB23" s="119" t="str">
        <f ca="1">IF(MAX($G24:$AT24)=0,"",IF(MATCH(MAX($G24:$AT24),$G24:$AT24,0)&lt;COUNTA($G$12:AB$12),"",MAX($G24:AB24)-MAX($G24:AA24)))</f>
        <v/>
      </c>
      <c r="AC23" s="119" t="str">
        <f ca="1">IF(MAX($G24:$AT24)=0,"",IF(MATCH(MAX($G24:$AT24),$G24:$AT24,0)&lt;COUNTA($G$12:AC$12),"",MAX($G24:AC24)-MAX($G24:AB24)))</f>
        <v/>
      </c>
      <c r="AD23" s="119" t="str">
        <f ca="1">IF(MAX($G24:$AT24)=0,"",IF(MATCH(MAX($G24:$AT24),$G24:$AT24,0)&lt;COUNTA($G$12:AD$12),"",MAX($G24:AD24)-MAX($G24:AC24)))</f>
        <v/>
      </c>
      <c r="AE23" s="119" t="str">
        <f ca="1">IF(MAX($G24:$AT24)=0,"",IF(MATCH(MAX($G24:$AT24),$G24:$AT24,0)&lt;COUNTA($G$12:AE$12),"",MAX($G24:AE24)-MAX($G24:AD24)))</f>
        <v/>
      </c>
      <c r="AF23" s="119" t="str">
        <f ca="1">IF(MAX($G24:$AT24)=0,"",IF(MATCH(MAX($G24:$AT24),$G24:$AT24,0)&lt;COUNTA($G$12:AF$12),"",MAX($G24:AF24)-MAX($G24:AE24)))</f>
        <v/>
      </c>
      <c r="AG23" s="119" t="str">
        <f ca="1">IF(MAX($G24:$AT24)=0,"",IF(MATCH(MAX($G24:$AT24),$G24:$AT24,0)&lt;COUNTA($G$12:AG$12),"",MAX($G24:AG24)-MAX($G24:AF24)))</f>
        <v/>
      </c>
      <c r="AH23" s="119" t="str">
        <f ca="1">IF(MAX($G24:$AT24)=0,"",IF(MATCH(MAX($G24:$AT24),$G24:$AT24,0)&lt;COUNTA($G$12:AH$12),"",MAX($G24:AH24)-MAX($G24:AG24)))</f>
        <v/>
      </c>
      <c r="AI23" s="119" t="str">
        <f ca="1">IF(MAX($G24:$AT24)=0,"",IF(MATCH(MAX($G24:$AT24),$G24:$AT24,0)&lt;COUNTA($G$12:AI$12),"",MAX($G24:AI24)-MAX($G24:AH24)))</f>
        <v/>
      </c>
      <c r="AJ23" s="119" t="str">
        <f ca="1">IF(MAX($G24:$AT24)=0,"",IF(MATCH(MAX($G24:$AT24),$G24:$AT24,0)&lt;COUNTA($G$12:AJ$12),"",MAX($G24:AJ24)-MAX($G24:AI24)))</f>
        <v/>
      </c>
      <c r="AK23" s="119" t="str">
        <f ca="1">IF(MAX($G24:$AT24)=0,"",IF(MATCH(MAX($G24:$AT24),$G24:$AT24,0)&lt;COUNTA($G$12:AK$12),"",MAX($G24:AK24)-MAX($G24:AJ24)))</f>
        <v/>
      </c>
      <c r="AL23" s="119" t="str">
        <f ca="1">IF(MAX($G24:$AT24)=0,"",IF(MATCH(MAX($G24:$AT24),$G24:$AT24,0)&lt;COUNTA($G$12:AL$12),"",MAX($G24:AL24)-MAX($G24:AK24)))</f>
        <v/>
      </c>
      <c r="AM23" s="119" t="str">
        <f ca="1">IF(MAX($G24:$AT24)=0,"",IF(MATCH(MAX($G24:$AT24),$G24:$AT24,0)&lt;COUNTA($G$12:AM$12),"",MAX($G24:AM24)-MAX($G24:AL24)))</f>
        <v/>
      </c>
      <c r="AN23" s="119" t="str">
        <f ca="1">IF(MAX($G24:$AT24)=0,"",IF(MATCH(MAX($G24:$AT24),$G24:$AT24,0)&lt;COUNTA($G$12:AN$12),"",MAX($G24:AN24)-MAX($G24:AM24)))</f>
        <v/>
      </c>
      <c r="AO23" s="119" t="str">
        <f ca="1">IF(MAX($G24:$AT24)=0,"",IF(MATCH(MAX($G24:$AT24),$G24:$AT24,0)&lt;COUNTA($G$12:AO$12),"",MAX($G24:AO24)-MAX($G24:AN24)))</f>
        <v/>
      </c>
      <c r="AP23" s="119" t="str">
        <f ca="1">IF(MAX($G24:$AT24)=0,"",IF(MATCH(MAX($G24:$AT24),$G24:$AT24,0)&lt;COUNTA($G$12:AP$12),"",MAX($G24:AP24)-MAX($G24:AO24)))</f>
        <v/>
      </c>
      <c r="AQ23" s="119" t="str">
        <f ca="1">IF(MAX($G24:$AT24)=0,"",IF(MATCH(MAX($G24:$AT24),$G24:$AT24,0)&lt;COUNTA($G$12:AQ$12),"",MAX($G24:AQ24)-MAX($G24:AP24)))</f>
        <v/>
      </c>
      <c r="AR23" s="119" t="str">
        <f ca="1">IF(MAX($G24:$AT24)=0,"",IF(MATCH(MAX($G24:$AT24),$G24:$AT24,0)&lt;COUNTA($G$12:AR$12),"",MAX($G24:AR24)-MAX($G24:AQ24)))</f>
        <v/>
      </c>
      <c r="AS23" s="119" t="str">
        <f ca="1">IF(MAX($G24:$AT24)=0,"",IF(MATCH(MAX($G24:$AT24),$G24:$AT24,0)&lt;COUNTA($G$12:AS$12),"",MAX($G24:AS24)-MAX($G24:AR24)))</f>
        <v/>
      </c>
      <c r="AT23" s="120" t="str">
        <f ca="1">IF(MAX($G24:$AT24)=0,"",IF(MATCH(MAX($G24:$AT24),$G24:$AT24,0)&lt;COUNTA($G$12:AT$12),"",MAX($G24:AT24)-MAX($G24:AS24)))</f>
        <v/>
      </c>
      <c r="AY23" s="68"/>
    </row>
    <row r="24" spans="1:51" s="67" customFormat="1" ht="12.75" customHeight="1" x14ac:dyDescent="0.2">
      <c r="A24" s="108"/>
      <c r="B24" s="108"/>
      <c r="C24" s="361"/>
      <c r="D24" s="359"/>
      <c r="E24" s="367"/>
      <c r="F24" s="111" t="s">
        <v>9</v>
      </c>
      <c r="G24" s="112">
        <f ca="1">IF(ISNUMBER(VALUE($C23)),SUMPRODUCT(OFFSET(G24,2,0,COUNTIF($C$13:$C$42,$C23&amp;".*")*2-1),OFFSET($E23,2,0,COUNTIF($C$13:$C$42,$C23&amp;".*")*2-1))/$E23,0)</f>
        <v>0</v>
      </c>
      <c r="H24" s="112">
        <f t="shared" ref="H24:AT24" ca="1" si="6">IF(ISNUMBER(VALUE($C23)),SUMPRODUCT(OFFSET(H24,2,0,COUNTIF($C$13:$C$42,$C23&amp;".*")*2-1),OFFSET($E23,2,0,COUNTIF($C$13:$C$42,$C23&amp;".*")*2-1))/$E23,G24)</f>
        <v>0</v>
      </c>
      <c r="I24" s="112">
        <f t="shared" ca="1" si="6"/>
        <v>0</v>
      </c>
      <c r="J24" s="112">
        <f t="shared" ca="1" si="6"/>
        <v>0</v>
      </c>
      <c r="K24" s="112">
        <f t="shared" ca="1" si="6"/>
        <v>0</v>
      </c>
      <c r="L24" s="112">
        <f t="shared" ca="1" si="6"/>
        <v>0</v>
      </c>
      <c r="M24" s="112">
        <f t="shared" ca="1" si="6"/>
        <v>0</v>
      </c>
      <c r="N24" s="112">
        <f t="shared" ca="1" si="6"/>
        <v>0</v>
      </c>
      <c r="O24" s="112">
        <f t="shared" ca="1" si="6"/>
        <v>0</v>
      </c>
      <c r="P24" s="112">
        <f t="shared" ca="1" si="6"/>
        <v>0</v>
      </c>
      <c r="Q24" s="112">
        <f t="shared" ca="1" si="6"/>
        <v>0</v>
      </c>
      <c r="R24" s="112">
        <f t="shared" ca="1" si="6"/>
        <v>0</v>
      </c>
      <c r="S24" s="112">
        <f t="shared" ca="1" si="6"/>
        <v>0</v>
      </c>
      <c r="T24" s="112">
        <f t="shared" ca="1" si="6"/>
        <v>0</v>
      </c>
      <c r="U24" s="112">
        <f t="shared" ca="1" si="6"/>
        <v>0</v>
      </c>
      <c r="V24" s="112">
        <f t="shared" ca="1" si="6"/>
        <v>0</v>
      </c>
      <c r="W24" s="112">
        <f t="shared" ca="1" si="6"/>
        <v>0</v>
      </c>
      <c r="X24" s="112">
        <f t="shared" ca="1" si="6"/>
        <v>0</v>
      </c>
      <c r="Y24" s="112">
        <f t="shared" ca="1" si="6"/>
        <v>0</v>
      </c>
      <c r="Z24" s="112">
        <f t="shared" ca="1" si="6"/>
        <v>0</v>
      </c>
      <c r="AA24" s="112">
        <f t="shared" ca="1" si="6"/>
        <v>0</v>
      </c>
      <c r="AB24" s="112">
        <f t="shared" ca="1" si="6"/>
        <v>0</v>
      </c>
      <c r="AC24" s="112">
        <f t="shared" ca="1" si="6"/>
        <v>0</v>
      </c>
      <c r="AD24" s="112">
        <f t="shared" ca="1" si="6"/>
        <v>0</v>
      </c>
      <c r="AE24" s="112">
        <f t="shared" ca="1" si="6"/>
        <v>0</v>
      </c>
      <c r="AF24" s="112">
        <f t="shared" ca="1" si="6"/>
        <v>0</v>
      </c>
      <c r="AG24" s="112">
        <f t="shared" ca="1" si="6"/>
        <v>0</v>
      </c>
      <c r="AH24" s="112">
        <f t="shared" ca="1" si="6"/>
        <v>0</v>
      </c>
      <c r="AI24" s="112">
        <f t="shared" ca="1" si="6"/>
        <v>0</v>
      </c>
      <c r="AJ24" s="112">
        <f t="shared" ca="1" si="6"/>
        <v>0</v>
      </c>
      <c r="AK24" s="112">
        <f t="shared" ca="1" si="6"/>
        <v>0</v>
      </c>
      <c r="AL24" s="112">
        <f t="shared" ca="1" si="6"/>
        <v>0</v>
      </c>
      <c r="AM24" s="112">
        <f t="shared" ca="1" si="6"/>
        <v>0</v>
      </c>
      <c r="AN24" s="112">
        <f t="shared" ca="1" si="6"/>
        <v>0</v>
      </c>
      <c r="AO24" s="112">
        <f t="shared" ca="1" si="6"/>
        <v>0</v>
      </c>
      <c r="AP24" s="112">
        <f t="shared" ca="1" si="6"/>
        <v>0</v>
      </c>
      <c r="AQ24" s="112">
        <f t="shared" ca="1" si="6"/>
        <v>0</v>
      </c>
      <c r="AR24" s="112">
        <f t="shared" ca="1" si="6"/>
        <v>0</v>
      </c>
      <c r="AS24" s="112">
        <f t="shared" ca="1" si="6"/>
        <v>0</v>
      </c>
      <c r="AT24" s="113">
        <f t="shared" ca="1" si="6"/>
        <v>0</v>
      </c>
      <c r="AY24" s="68"/>
    </row>
    <row r="25" spans="1:51" s="67" customFormat="1" ht="12.75" customHeight="1" x14ac:dyDescent="0.2">
      <c r="A25" s="108">
        <f ca="1">OFFSET(A25,-2,0)+1</f>
        <v>7</v>
      </c>
      <c r="B25" s="108" t="e">
        <f ca="1">MATCH(A25,OFFSET(PO!$W$15,0,0,PO!$J$15),0)-1</f>
        <v>#N/A</v>
      </c>
      <c r="C25" s="365" t="str">
        <f ca="1">IF(ISERROR($B25),"",OFFSET(PO!$L$15,$B25,0))</f>
        <v/>
      </c>
      <c r="D25" s="371" t="str">
        <f ca="1">IF(ISERROR($B25),"",OFFSET(PO!$L$15,$B25,3))</f>
        <v/>
      </c>
      <c r="E25" s="366">
        <f ca="1">IF(ISERROR($B25),0,OFFSET(PO!$L$15,$B25,9))</f>
        <v>0</v>
      </c>
      <c r="F25" s="109" t="s">
        <v>7</v>
      </c>
      <c r="G25" s="121">
        <f ca="1">G26</f>
        <v>0</v>
      </c>
      <c r="H25" s="121" t="str">
        <f ca="1">IF(MAX($G26:$AT26)=0,"",IF(MATCH(MAX($G26:$AT26),$G26:$AT26,0)&lt;COUNTA($G$12:H$12),"",MAX($G26:H26)-MAX($G26:G26)))</f>
        <v/>
      </c>
      <c r="I25" s="121" t="str">
        <f ca="1">IF(MAX($G26:$AT26)=0,"",IF(MATCH(MAX($G26:$AT26),$G26:$AT26,0)&lt;COUNTA($G$12:I$12),"",MAX($G26:I26)-MAX($G26:H26)))</f>
        <v/>
      </c>
      <c r="J25" s="121" t="str">
        <f ca="1">IF(MAX($G26:$AT26)=0,"",IF(MATCH(MAX($G26:$AT26),$G26:$AT26,0)&lt;COUNTA($G$12:J$12),"",MAX($G26:J26)-MAX($G26:I26)))</f>
        <v/>
      </c>
      <c r="K25" s="121" t="str">
        <f ca="1">IF(MAX($G26:$AT26)=0,"",IF(MATCH(MAX($G26:$AT26),$G26:$AT26,0)&lt;COUNTA($G$12:K$12),"",MAX($G26:K26)-MAX($G26:J26)))</f>
        <v/>
      </c>
      <c r="L25" s="121" t="str">
        <f ca="1">IF(MAX($G26:$AT26)=0,"",IF(MATCH(MAX($G26:$AT26),$G26:$AT26,0)&lt;COUNTA($G$12:L$12),"",MAX($G26:L26)-MAX($G26:K26)))</f>
        <v/>
      </c>
      <c r="M25" s="121" t="str">
        <f ca="1">IF(MAX($G26:$AT26)=0,"",IF(MATCH(MAX($G26:$AT26),$G26:$AT26,0)&lt;COUNTA($G$12:M$12),"",MAX($G26:M26)-MAX($G26:L26)))</f>
        <v/>
      </c>
      <c r="N25" s="121" t="str">
        <f ca="1">IF(MAX($G26:$AT26)=0,"",IF(MATCH(MAX($G26:$AT26),$G26:$AT26,0)&lt;COUNTA($G$12:N$12),"",MAX($G26:N26)-MAX($G26:M26)))</f>
        <v/>
      </c>
      <c r="O25" s="121" t="str">
        <f ca="1">IF(MAX($G26:$AT26)=0,"",IF(MATCH(MAX($G26:$AT26),$G26:$AT26,0)&lt;COUNTA($G$12:O$12),"",MAX($G26:O26)-MAX($G26:N26)))</f>
        <v/>
      </c>
      <c r="P25" s="121" t="str">
        <f ca="1">IF(MAX($G26:$AT26)=0,"",IF(MATCH(MAX($G26:$AT26),$G26:$AT26,0)&lt;COUNTA($G$12:P$12),"",MAX($G26:P26)-MAX($G26:O26)))</f>
        <v/>
      </c>
      <c r="Q25" s="121" t="str">
        <f ca="1">IF(MAX($G26:$AT26)=0,"",IF(MATCH(MAX($G26:$AT26),$G26:$AT26,0)&lt;COUNTA($G$12:Q$12),"",MAX($G26:Q26)-MAX($G26:P26)))</f>
        <v/>
      </c>
      <c r="R25" s="121" t="str">
        <f ca="1">IF(MAX($G26:$AT26)=0,"",IF(MATCH(MAX($G26:$AT26),$G26:$AT26,0)&lt;COUNTA($G$12:R$12),"",MAX($G26:R26)-MAX($G26:Q26)))</f>
        <v/>
      </c>
      <c r="S25" s="121" t="str">
        <f ca="1">IF(MAX($G26:$AT26)=0,"",IF(MATCH(MAX($G26:$AT26),$G26:$AT26,0)&lt;COUNTA($G$12:S$12),"",MAX($G26:S26)-MAX($G26:R26)))</f>
        <v/>
      </c>
      <c r="T25" s="121" t="str">
        <f ca="1">IF(MAX($G26:$AT26)=0,"",IF(MATCH(MAX($G26:$AT26),$G26:$AT26,0)&lt;COUNTA($G$12:T$12),"",MAX($G26:T26)-MAX($G26:S26)))</f>
        <v/>
      </c>
      <c r="U25" s="121" t="str">
        <f ca="1">IF(MAX($G26:$AT26)=0,"",IF(MATCH(MAX($G26:$AT26),$G26:$AT26,0)&lt;COUNTA($G$12:U$12),"",MAX($G26:U26)-MAX($G26:T26)))</f>
        <v/>
      </c>
      <c r="V25" s="121" t="str">
        <f ca="1">IF(MAX($G26:$AT26)=0,"",IF(MATCH(MAX($G26:$AT26),$G26:$AT26,0)&lt;COUNTA($G$12:V$12),"",MAX($G26:V26)-MAX($G26:U26)))</f>
        <v/>
      </c>
      <c r="W25" s="121" t="str">
        <f ca="1">IF(MAX($G26:$AT26)=0,"",IF(MATCH(MAX($G26:$AT26),$G26:$AT26,0)&lt;COUNTA($G$12:W$12),"",MAX($G26:W26)-MAX($G26:V26)))</f>
        <v/>
      </c>
      <c r="X25" s="121" t="str">
        <f ca="1">IF(MAX($G26:$AT26)=0,"",IF(MATCH(MAX($G26:$AT26),$G26:$AT26,0)&lt;COUNTA($G$12:X$12),"",MAX($G26:X26)-MAX($G26:W26)))</f>
        <v/>
      </c>
      <c r="Y25" s="121" t="str">
        <f ca="1">IF(MAX($G26:$AT26)=0,"",IF(MATCH(MAX($G26:$AT26),$G26:$AT26,0)&lt;COUNTA($G$12:Y$12),"",MAX($G26:Y26)-MAX($G26:X26)))</f>
        <v/>
      </c>
      <c r="Z25" s="121" t="str">
        <f ca="1">IF(MAX($G26:$AT26)=0,"",IF(MATCH(MAX($G26:$AT26),$G26:$AT26,0)&lt;COUNTA($G$12:Z$12),"",MAX($G26:Z26)-MAX($G26:Y26)))</f>
        <v/>
      </c>
      <c r="AA25" s="121" t="str">
        <f ca="1">IF(MAX($G26:$AT26)=0,"",IF(MATCH(MAX($G26:$AT26),$G26:$AT26,0)&lt;COUNTA($G$12:AA$12),"",MAX($G26:AA26)-MAX($G26:Z26)))</f>
        <v/>
      </c>
      <c r="AB25" s="121" t="str">
        <f ca="1">IF(MAX($G26:$AT26)=0,"",IF(MATCH(MAX($G26:$AT26),$G26:$AT26,0)&lt;COUNTA($G$12:AB$12),"",MAX($G26:AB26)-MAX($G26:AA26)))</f>
        <v/>
      </c>
      <c r="AC25" s="121" t="str">
        <f ca="1">IF(MAX($G26:$AT26)=0,"",IF(MATCH(MAX($G26:$AT26),$G26:$AT26,0)&lt;COUNTA($G$12:AC$12),"",MAX($G26:AC26)-MAX($G26:AB26)))</f>
        <v/>
      </c>
      <c r="AD25" s="121" t="str">
        <f ca="1">IF(MAX($G26:$AT26)=0,"",IF(MATCH(MAX($G26:$AT26),$G26:$AT26,0)&lt;COUNTA($G$12:AD$12),"",MAX($G26:AD26)-MAX($G26:AC26)))</f>
        <v/>
      </c>
      <c r="AE25" s="121" t="str">
        <f ca="1">IF(MAX($G26:$AT26)=0,"",IF(MATCH(MAX($G26:$AT26),$G26:$AT26,0)&lt;COUNTA($G$12:AE$12),"",MAX($G26:AE26)-MAX($G26:AD26)))</f>
        <v/>
      </c>
      <c r="AF25" s="121" t="str">
        <f ca="1">IF(MAX($G26:$AT26)=0,"",IF(MATCH(MAX($G26:$AT26),$G26:$AT26,0)&lt;COUNTA($G$12:AF$12),"",MAX($G26:AF26)-MAX($G26:AE26)))</f>
        <v/>
      </c>
      <c r="AG25" s="121" t="str">
        <f ca="1">IF(MAX($G26:$AT26)=0,"",IF(MATCH(MAX($G26:$AT26),$G26:$AT26,0)&lt;COUNTA($G$12:AG$12),"",MAX($G26:AG26)-MAX($G26:AF26)))</f>
        <v/>
      </c>
      <c r="AH25" s="121" t="str">
        <f ca="1">IF(MAX($G26:$AT26)=0,"",IF(MATCH(MAX($G26:$AT26),$G26:$AT26,0)&lt;COUNTA($G$12:AH$12),"",MAX($G26:AH26)-MAX($G26:AG26)))</f>
        <v/>
      </c>
      <c r="AI25" s="121" t="str">
        <f ca="1">IF(MAX($G26:$AT26)=0,"",IF(MATCH(MAX($G26:$AT26),$G26:$AT26,0)&lt;COUNTA($G$12:AI$12),"",MAX($G26:AI26)-MAX($G26:AH26)))</f>
        <v/>
      </c>
      <c r="AJ25" s="121" t="str">
        <f ca="1">IF(MAX($G26:$AT26)=0,"",IF(MATCH(MAX($G26:$AT26),$G26:$AT26,0)&lt;COUNTA($G$12:AJ$12),"",MAX($G26:AJ26)-MAX($G26:AI26)))</f>
        <v/>
      </c>
      <c r="AK25" s="121" t="str">
        <f ca="1">IF(MAX($G26:$AT26)=0,"",IF(MATCH(MAX($G26:$AT26),$G26:$AT26,0)&lt;COUNTA($G$12:AK$12),"",MAX($G26:AK26)-MAX($G26:AJ26)))</f>
        <v/>
      </c>
      <c r="AL25" s="121" t="str">
        <f ca="1">IF(MAX($G26:$AT26)=0,"",IF(MATCH(MAX($G26:$AT26),$G26:$AT26,0)&lt;COUNTA($G$12:AL$12),"",MAX($G26:AL26)-MAX($G26:AK26)))</f>
        <v/>
      </c>
      <c r="AM25" s="121" t="str">
        <f ca="1">IF(MAX($G26:$AT26)=0,"",IF(MATCH(MAX($G26:$AT26),$G26:$AT26,0)&lt;COUNTA($G$12:AM$12),"",MAX($G26:AM26)-MAX($G26:AL26)))</f>
        <v/>
      </c>
      <c r="AN25" s="121" t="str">
        <f ca="1">IF(MAX($G26:$AT26)=0,"",IF(MATCH(MAX($G26:$AT26),$G26:$AT26,0)&lt;COUNTA($G$12:AN$12),"",MAX($G26:AN26)-MAX($G26:AM26)))</f>
        <v/>
      </c>
      <c r="AO25" s="121" t="str">
        <f ca="1">IF(MAX($G26:$AT26)=0,"",IF(MATCH(MAX($G26:$AT26),$G26:$AT26,0)&lt;COUNTA($G$12:AO$12),"",MAX($G26:AO26)-MAX($G26:AN26)))</f>
        <v/>
      </c>
      <c r="AP25" s="121" t="str">
        <f ca="1">IF(MAX($G26:$AT26)=0,"",IF(MATCH(MAX($G26:$AT26),$G26:$AT26,0)&lt;COUNTA($G$12:AP$12),"",MAX($G26:AP26)-MAX($G26:AO26)))</f>
        <v/>
      </c>
      <c r="AQ25" s="121" t="str">
        <f ca="1">IF(MAX($G26:$AT26)=0,"",IF(MATCH(MAX($G26:$AT26),$G26:$AT26,0)&lt;COUNTA($G$12:AQ$12),"",MAX($G26:AQ26)-MAX($G26:AP26)))</f>
        <v/>
      </c>
      <c r="AR25" s="121" t="str">
        <f ca="1">IF(MAX($G26:$AT26)=0,"",IF(MATCH(MAX($G26:$AT26),$G26:$AT26,0)&lt;COUNTA($G$12:AR$12),"",MAX($G26:AR26)-MAX($G26:AQ26)))</f>
        <v/>
      </c>
      <c r="AS25" s="121" t="str">
        <f ca="1">IF(MAX($G26:$AT26)=0,"",IF(MATCH(MAX($G26:$AT26),$G26:$AT26,0)&lt;COUNTA($G$12:AS$12),"",MAX($G26:AS26)-MAX($G26:AR26)))</f>
        <v/>
      </c>
      <c r="AT25" s="122" t="str">
        <f ca="1">IF(MAX($G26:$AT26)=0,"",IF(MATCH(MAX($G26:$AT26),$G26:$AT26,0)&lt;COUNTA($G$12:AT$12),"",MAX($G26:AT26)-MAX($G26:AS26)))</f>
        <v/>
      </c>
      <c r="AY25" s="68"/>
    </row>
    <row r="26" spans="1:51" s="67" customFormat="1" ht="12.75" customHeight="1" x14ac:dyDescent="0.2">
      <c r="A26" s="108"/>
      <c r="B26" s="108"/>
      <c r="C26" s="361"/>
      <c r="D26" s="359"/>
      <c r="E26" s="367"/>
      <c r="F26" s="111" t="s">
        <v>9</v>
      </c>
      <c r="G26" s="112">
        <f ca="1">IF(ISNUMBER(VALUE($C25)),SUMPRODUCT(OFFSET(G26,2,0,COUNTIF($C$13:$C$42,$C25&amp;".*")*2-1),OFFSET($E25,2,0,COUNTIF($C$13:$C$42,$C25&amp;".*")*2-1))/$E25,0)</f>
        <v>0</v>
      </c>
      <c r="H26" s="112">
        <f t="shared" ref="H26:AT26" ca="1" si="7">IF(ISNUMBER(VALUE($C25)),SUMPRODUCT(OFFSET(H26,2,0,COUNTIF($C$13:$C$42,$C25&amp;".*")*2-1),OFFSET($E25,2,0,COUNTIF($C$13:$C$42,$C25&amp;".*")*2-1))/$E25,G26)</f>
        <v>0</v>
      </c>
      <c r="I26" s="112">
        <f t="shared" ca="1" si="7"/>
        <v>0</v>
      </c>
      <c r="J26" s="112">
        <f t="shared" ca="1" si="7"/>
        <v>0</v>
      </c>
      <c r="K26" s="112">
        <f t="shared" ca="1" si="7"/>
        <v>0</v>
      </c>
      <c r="L26" s="112">
        <f t="shared" ca="1" si="7"/>
        <v>0</v>
      </c>
      <c r="M26" s="112">
        <f t="shared" ca="1" si="7"/>
        <v>0</v>
      </c>
      <c r="N26" s="112">
        <f t="shared" ca="1" si="7"/>
        <v>0</v>
      </c>
      <c r="O26" s="112">
        <f t="shared" ca="1" si="7"/>
        <v>0</v>
      </c>
      <c r="P26" s="112">
        <f t="shared" ca="1" si="7"/>
        <v>0</v>
      </c>
      <c r="Q26" s="112">
        <f t="shared" ca="1" si="7"/>
        <v>0</v>
      </c>
      <c r="R26" s="112">
        <f t="shared" ca="1" si="7"/>
        <v>0</v>
      </c>
      <c r="S26" s="112">
        <f t="shared" ca="1" si="7"/>
        <v>0</v>
      </c>
      <c r="T26" s="112">
        <f t="shared" ca="1" si="7"/>
        <v>0</v>
      </c>
      <c r="U26" s="112">
        <f t="shared" ca="1" si="7"/>
        <v>0</v>
      </c>
      <c r="V26" s="112">
        <f t="shared" ca="1" si="7"/>
        <v>0</v>
      </c>
      <c r="W26" s="112">
        <f t="shared" ca="1" si="7"/>
        <v>0</v>
      </c>
      <c r="X26" s="112">
        <f t="shared" ca="1" si="7"/>
        <v>0</v>
      </c>
      <c r="Y26" s="112">
        <f t="shared" ca="1" si="7"/>
        <v>0</v>
      </c>
      <c r="Z26" s="112">
        <f t="shared" ca="1" si="7"/>
        <v>0</v>
      </c>
      <c r="AA26" s="112">
        <f t="shared" ca="1" si="7"/>
        <v>0</v>
      </c>
      <c r="AB26" s="112">
        <f t="shared" ca="1" si="7"/>
        <v>0</v>
      </c>
      <c r="AC26" s="112">
        <f t="shared" ca="1" si="7"/>
        <v>0</v>
      </c>
      <c r="AD26" s="112">
        <f t="shared" ca="1" si="7"/>
        <v>0</v>
      </c>
      <c r="AE26" s="112">
        <f t="shared" ca="1" si="7"/>
        <v>0</v>
      </c>
      <c r="AF26" s="112">
        <f t="shared" ca="1" si="7"/>
        <v>0</v>
      </c>
      <c r="AG26" s="112">
        <f t="shared" ca="1" si="7"/>
        <v>0</v>
      </c>
      <c r="AH26" s="112">
        <f t="shared" ca="1" si="7"/>
        <v>0</v>
      </c>
      <c r="AI26" s="112">
        <f t="shared" ca="1" si="7"/>
        <v>0</v>
      </c>
      <c r="AJ26" s="112">
        <f t="shared" ca="1" si="7"/>
        <v>0</v>
      </c>
      <c r="AK26" s="112">
        <f t="shared" ca="1" si="7"/>
        <v>0</v>
      </c>
      <c r="AL26" s="112">
        <f t="shared" ca="1" si="7"/>
        <v>0</v>
      </c>
      <c r="AM26" s="112">
        <f t="shared" ca="1" si="7"/>
        <v>0</v>
      </c>
      <c r="AN26" s="112">
        <f t="shared" ca="1" si="7"/>
        <v>0</v>
      </c>
      <c r="AO26" s="112">
        <f t="shared" ca="1" si="7"/>
        <v>0</v>
      </c>
      <c r="AP26" s="112">
        <f t="shared" ca="1" si="7"/>
        <v>0</v>
      </c>
      <c r="AQ26" s="112">
        <f t="shared" ca="1" si="7"/>
        <v>0</v>
      </c>
      <c r="AR26" s="112">
        <f t="shared" ca="1" si="7"/>
        <v>0</v>
      </c>
      <c r="AS26" s="112">
        <f t="shared" ca="1" si="7"/>
        <v>0</v>
      </c>
      <c r="AT26" s="113">
        <f t="shared" ca="1" si="7"/>
        <v>0</v>
      </c>
      <c r="AY26" s="68"/>
    </row>
    <row r="27" spans="1:51" s="67" customFormat="1" ht="12.75" customHeight="1" x14ac:dyDescent="0.2">
      <c r="A27" s="108">
        <f ca="1">OFFSET(A27,-2,0)+1</f>
        <v>8</v>
      </c>
      <c r="B27" s="108" t="e">
        <f ca="1">MATCH(A27,OFFSET(PO!$W$15,0,0,PO!$J$15),0)-1</f>
        <v>#N/A</v>
      </c>
      <c r="C27" s="360" t="str">
        <f ca="1">IF(ISERROR($B27),"",OFFSET(PO!$L$15,$B27,0))</f>
        <v/>
      </c>
      <c r="D27" s="358" t="str">
        <f ca="1">IF(ISERROR($B27),"",OFFSET(PO!$L$15,$B27,3))</f>
        <v/>
      </c>
      <c r="E27" s="372">
        <f ca="1">IF(ISERROR($B27),0,OFFSET(PO!$L$15,$B27,9))</f>
        <v>0</v>
      </c>
      <c r="F27" s="114" t="s">
        <v>7</v>
      </c>
      <c r="G27" s="119">
        <f ca="1">G28</f>
        <v>0</v>
      </c>
      <c r="H27" s="119" t="str">
        <f ca="1">IF(MAX($G28:$AT28)=0,"",IF(MATCH(MAX($G28:$AT28),$G28:$AT28,0)&lt;COUNTA($G$12:H$12),"",MAX($G28:H28)-MAX($G28:G28)))</f>
        <v/>
      </c>
      <c r="I27" s="119" t="str">
        <f ca="1">IF(MAX($G28:$AT28)=0,"",IF(MATCH(MAX($G28:$AT28),$G28:$AT28,0)&lt;COUNTA($G$12:I$12),"",MAX($G28:I28)-MAX($G28:H28)))</f>
        <v/>
      </c>
      <c r="J27" s="119" t="str">
        <f ca="1">IF(MAX($G28:$AT28)=0,"",IF(MATCH(MAX($G28:$AT28),$G28:$AT28,0)&lt;COUNTA($G$12:J$12),"",MAX($G28:J28)-MAX($G28:I28)))</f>
        <v/>
      </c>
      <c r="K27" s="119" t="str">
        <f ca="1">IF(MAX($G28:$AT28)=0,"",IF(MATCH(MAX($G28:$AT28),$G28:$AT28,0)&lt;COUNTA($G$12:K$12),"",MAX($G28:K28)-MAX($G28:J28)))</f>
        <v/>
      </c>
      <c r="L27" s="119" t="str">
        <f ca="1">IF(MAX($G28:$AT28)=0,"",IF(MATCH(MAX($G28:$AT28),$G28:$AT28,0)&lt;COUNTA($G$12:L$12),"",MAX($G28:L28)-MAX($G28:K28)))</f>
        <v/>
      </c>
      <c r="M27" s="119" t="str">
        <f ca="1">IF(MAX($G28:$AT28)=0,"",IF(MATCH(MAX($G28:$AT28),$G28:$AT28,0)&lt;COUNTA($G$12:M$12),"",MAX($G28:M28)-MAX($G28:L28)))</f>
        <v/>
      </c>
      <c r="N27" s="119" t="str">
        <f ca="1">IF(MAX($G28:$AT28)=0,"",IF(MATCH(MAX($G28:$AT28),$G28:$AT28,0)&lt;COUNTA($G$12:N$12),"",MAX($G28:N28)-MAX($G28:M28)))</f>
        <v/>
      </c>
      <c r="O27" s="119" t="str">
        <f ca="1">IF(MAX($G28:$AT28)=0,"",IF(MATCH(MAX($G28:$AT28),$G28:$AT28,0)&lt;COUNTA($G$12:O$12),"",MAX($G28:O28)-MAX($G28:N28)))</f>
        <v/>
      </c>
      <c r="P27" s="119" t="str">
        <f ca="1">IF(MAX($G28:$AT28)=0,"",IF(MATCH(MAX($G28:$AT28),$G28:$AT28,0)&lt;COUNTA($G$12:P$12),"",MAX($G28:P28)-MAX($G28:O28)))</f>
        <v/>
      </c>
      <c r="Q27" s="119" t="str">
        <f ca="1">IF(MAX($G28:$AT28)=0,"",IF(MATCH(MAX($G28:$AT28),$G28:$AT28,0)&lt;COUNTA($G$12:Q$12),"",MAX($G28:Q28)-MAX($G28:P28)))</f>
        <v/>
      </c>
      <c r="R27" s="119" t="str">
        <f ca="1">IF(MAX($G28:$AT28)=0,"",IF(MATCH(MAX($G28:$AT28),$G28:$AT28,0)&lt;COUNTA($G$12:R$12),"",MAX($G28:R28)-MAX($G28:Q28)))</f>
        <v/>
      </c>
      <c r="S27" s="119" t="str">
        <f ca="1">IF(MAX($G28:$AT28)=0,"",IF(MATCH(MAX($G28:$AT28),$G28:$AT28,0)&lt;COUNTA($G$12:S$12),"",MAX($G28:S28)-MAX($G28:R28)))</f>
        <v/>
      </c>
      <c r="T27" s="119" t="str">
        <f ca="1">IF(MAX($G28:$AT28)=0,"",IF(MATCH(MAX($G28:$AT28),$G28:$AT28,0)&lt;COUNTA($G$12:T$12),"",MAX($G28:T28)-MAX($G28:S28)))</f>
        <v/>
      </c>
      <c r="U27" s="119" t="str">
        <f ca="1">IF(MAX($G28:$AT28)=0,"",IF(MATCH(MAX($G28:$AT28),$G28:$AT28,0)&lt;COUNTA($G$12:U$12),"",MAX($G28:U28)-MAX($G28:T28)))</f>
        <v/>
      </c>
      <c r="V27" s="119" t="str">
        <f ca="1">IF(MAX($G28:$AT28)=0,"",IF(MATCH(MAX($G28:$AT28),$G28:$AT28,0)&lt;COUNTA($G$12:V$12),"",MAX($G28:V28)-MAX($G28:U28)))</f>
        <v/>
      </c>
      <c r="W27" s="119" t="str">
        <f ca="1">IF(MAX($G28:$AT28)=0,"",IF(MATCH(MAX($G28:$AT28),$G28:$AT28,0)&lt;COUNTA($G$12:W$12),"",MAX($G28:W28)-MAX($G28:V28)))</f>
        <v/>
      </c>
      <c r="X27" s="119" t="str">
        <f ca="1">IF(MAX($G28:$AT28)=0,"",IF(MATCH(MAX($G28:$AT28),$G28:$AT28,0)&lt;COUNTA($G$12:X$12),"",MAX($G28:X28)-MAX($G28:W28)))</f>
        <v/>
      </c>
      <c r="Y27" s="119" t="str">
        <f ca="1">IF(MAX($G28:$AT28)=0,"",IF(MATCH(MAX($G28:$AT28),$G28:$AT28,0)&lt;COUNTA($G$12:Y$12),"",MAX($G28:Y28)-MAX($G28:X28)))</f>
        <v/>
      </c>
      <c r="Z27" s="119" t="str">
        <f ca="1">IF(MAX($G28:$AT28)=0,"",IF(MATCH(MAX($G28:$AT28),$G28:$AT28,0)&lt;COUNTA($G$12:Z$12),"",MAX($G28:Z28)-MAX($G28:Y28)))</f>
        <v/>
      </c>
      <c r="AA27" s="119" t="str">
        <f ca="1">IF(MAX($G28:$AT28)=0,"",IF(MATCH(MAX($G28:$AT28),$G28:$AT28,0)&lt;COUNTA($G$12:AA$12),"",MAX($G28:AA28)-MAX($G28:Z28)))</f>
        <v/>
      </c>
      <c r="AB27" s="119" t="str">
        <f ca="1">IF(MAX($G28:$AT28)=0,"",IF(MATCH(MAX($G28:$AT28),$G28:$AT28,0)&lt;COUNTA($G$12:AB$12),"",MAX($G28:AB28)-MAX($G28:AA28)))</f>
        <v/>
      </c>
      <c r="AC27" s="119" t="str">
        <f ca="1">IF(MAX($G28:$AT28)=0,"",IF(MATCH(MAX($G28:$AT28),$G28:$AT28,0)&lt;COUNTA($G$12:AC$12),"",MAX($G28:AC28)-MAX($G28:AB28)))</f>
        <v/>
      </c>
      <c r="AD27" s="119" t="str">
        <f ca="1">IF(MAX($G28:$AT28)=0,"",IF(MATCH(MAX($G28:$AT28),$G28:$AT28,0)&lt;COUNTA($G$12:AD$12),"",MAX($G28:AD28)-MAX($G28:AC28)))</f>
        <v/>
      </c>
      <c r="AE27" s="119" t="str">
        <f ca="1">IF(MAX($G28:$AT28)=0,"",IF(MATCH(MAX($G28:$AT28),$G28:$AT28,0)&lt;COUNTA($G$12:AE$12),"",MAX($G28:AE28)-MAX($G28:AD28)))</f>
        <v/>
      </c>
      <c r="AF27" s="119" t="str">
        <f ca="1">IF(MAX($G28:$AT28)=0,"",IF(MATCH(MAX($G28:$AT28),$G28:$AT28,0)&lt;COUNTA($G$12:AF$12),"",MAX($G28:AF28)-MAX($G28:AE28)))</f>
        <v/>
      </c>
      <c r="AG27" s="119" t="str">
        <f ca="1">IF(MAX($G28:$AT28)=0,"",IF(MATCH(MAX($G28:$AT28),$G28:$AT28,0)&lt;COUNTA($G$12:AG$12),"",MAX($G28:AG28)-MAX($G28:AF28)))</f>
        <v/>
      </c>
      <c r="AH27" s="119" t="str">
        <f ca="1">IF(MAX($G28:$AT28)=0,"",IF(MATCH(MAX($G28:$AT28),$G28:$AT28,0)&lt;COUNTA($G$12:AH$12),"",MAX($G28:AH28)-MAX($G28:AG28)))</f>
        <v/>
      </c>
      <c r="AI27" s="119" t="str">
        <f ca="1">IF(MAX($G28:$AT28)=0,"",IF(MATCH(MAX($G28:$AT28),$G28:$AT28,0)&lt;COUNTA($G$12:AI$12),"",MAX($G28:AI28)-MAX($G28:AH28)))</f>
        <v/>
      </c>
      <c r="AJ27" s="119" t="str">
        <f ca="1">IF(MAX($G28:$AT28)=0,"",IF(MATCH(MAX($G28:$AT28),$G28:$AT28,0)&lt;COUNTA($G$12:AJ$12),"",MAX($G28:AJ28)-MAX($G28:AI28)))</f>
        <v/>
      </c>
      <c r="AK27" s="119" t="str">
        <f ca="1">IF(MAX($G28:$AT28)=0,"",IF(MATCH(MAX($G28:$AT28),$G28:$AT28,0)&lt;COUNTA($G$12:AK$12),"",MAX($G28:AK28)-MAX($G28:AJ28)))</f>
        <v/>
      </c>
      <c r="AL27" s="119" t="str">
        <f ca="1">IF(MAX($G28:$AT28)=0,"",IF(MATCH(MAX($G28:$AT28),$G28:$AT28,0)&lt;COUNTA($G$12:AL$12),"",MAX($G28:AL28)-MAX($G28:AK28)))</f>
        <v/>
      </c>
      <c r="AM27" s="119" t="str">
        <f ca="1">IF(MAX($G28:$AT28)=0,"",IF(MATCH(MAX($G28:$AT28),$G28:$AT28,0)&lt;COUNTA($G$12:AM$12),"",MAX($G28:AM28)-MAX($G28:AL28)))</f>
        <v/>
      </c>
      <c r="AN27" s="119" t="str">
        <f ca="1">IF(MAX($G28:$AT28)=0,"",IF(MATCH(MAX($G28:$AT28),$G28:$AT28,0)&lt;COUNTA($G$12:AN$12),"",MAX($G28:AN28)-MAX($G28:AM28)))</f>
        <v/>
      </c>
      <c r="AO27" s="119" t="str">
        <f ca="1">IF(MAX($G28:$AT28)=0,"",IF(MATCH(MAX($G28:$AT28),$G28:$AT28,0)&lt;COUNTA($G$12:AO$12),"",MAX($G28:AO28)-MAX($G28:AN28)))</f>
        <v/>
      </c>
      <c r="AP27" s="119" t="str">
        <f ca="1">IF(MAX($G28:$AT28)=0,"",IF(MATCH(MAX($G28:$AT28),$G28:$AT28,0)&lt;COUNTA($G$12:AP$12),"",MAX($G28:AP28)-MAX($G28:AO28)))</f>
        <v/>
      </c>
      <c r="AQ27" s="119" t="str">
        <f ca="1">IF(MAX($G28:$AT28)=0,"",IF(MATCH(MAX($G28:$AT28),$G28:$AT28,0)&lt;COUNTA($G$12:AQ$12),"",MAX($G28:AQ28)-MAX($G28:AP28)))</f>
        <v/>
      </c>
      <c r="AR27" s="119" t="str">
        <f ca="1">IF(MAX($G28:$AT28)=0,"",IF(MATCH(MAX($G28:$AT28),$G28:$AT28,0)&lt;COUNTA($G$12:AR$12),"",MAX($G28:AR28)-MAX($G28:AQ28)))</f>
        <v/>
      </c>
      <c r="AS27" s="119" t="str">
        <f ca="1">IF(MAX($G28:$AT28)=0,"",IF(MATCH(MAX($G28:$AT28),$G28:$AT28,0)&lt;COUNTA($G$12:AS$12),"",MAX($G28:AS28)-MAX($G28:AR28)))</f>
        <v/>
      </c>
      <c r="AT27" s="120" t="str">
        <f ca="1">IF(MAX($G28:$AT28)=0,"",IF(MATCH(MAX($G28:$AT28),$G28:$AT28,0)&lt;COUNTA($G$12:AT$12),"",MAX($G28:AT28)-MAX($G28:AS28)))</f>
        <v/>
      </c>
      <c r="AY27" s="68"/>
    </row>
    <row r="28" spans="1:51" s="67" customFormat="1" ht="12.75" customHeight="1" x14ac:dyDescent="0.2">
      <c r="A28" s="108"/>
      <c r="B28" s="108"/>
      <c r="C28" s="361"/>
      <c r="D28" s="359"/>
      <c r="E28" s="367"/>
      <c r="F28" s="111" t="s">
        <v>9</v>
      </c>
      <c r="G28" s="112">
        <f ca="1">IF(ISNUMBER(VALUE($C27)),SUMPRODUCT(OFFSET(G28,2,0,COUNTIF($C$13:$C$42,$C27&amp;".*")*2-1),OFFSET($E27,2,0,COUNTIF($C$13:$C$42,$C27&amp;".*")*2-1))/$E27,0)</f>
        <v>0</v>
      </c>
      <c r="H28" s="112">
        <f t="shared" ref="H28:AT28" ca="1" si="8">IF(ISNUMBER(VALUE($C27)),SUMPRODUCT(OFFSET(H28,2,0,COUNTIF($C$13:$C$42,$C27&amp;".*")*2-1),OFFSET($E27,2,0,COUNTIF($C$13:$C$42,$C27&amp;".*")*2-1))/$E27,G28)</f>
        <v>0</v>
      </c>
      <c r="I28" s="112">
        <f t="shared" ca="1" si="8"/>
        <v>0</v>
      </c>
      <c r="J28" s="112">
        <f t="shared" ca="1" si="8"/>
        <v>0</v>
      </c>
      <c r="K28" s="112">
        <f t="shared" ca="1" si="8"/>
        <v>0</v>
      </c>
      <c r="L28" s="112">
        <f t="shared" ca="1" si="8"/>
        <v>0</v>
      </c>
      <c r="M28" s="112">
        <f t="shared" ca="1" si="8"/>
        <v>0</v>
      </c>
      <c r="N28" s="112">
        <f t="shared" ca="1" si="8"/>
        <v>0</v>
      </c>
      <c r="O28" s="112">
        <f t="shared" ca="1" si="8"/>
        <v>0</v>
      </c>
      <c r="P28" s="112">
        <f t="shared" ca="1" si="8"/>
        <v>0</v>
      </c>
      <c r="Q28" s="112">
        <f t="shared" ca="1" si="8"/>
        <v>0</v>
      </c>
      <c r="R28" s="112">
        <f t="shared" ca="1" si="8"/>
        <v>0</v>
      </c>
      <c r="S28" s="112">
        <f t="shared" ca="1" si="8"/>
        <v>0</v>
      </c>
      <c r="T28" s="112">
        <f t="shared" ca="1" si="8"/>
        <v>0</v>
      </c>
      <c r="U28" s="112">
        <f t="shared" ca="1" si="8"/>
        <v>0</v>
      </c>
      <c r="V28" s="112">
        <f t="shared" ca="1" si="8"/>
        <v>0</v>
      </c>
      <c r="W28" s="112">
        <f t="shared" ca="1" si="8"/>
        <v>0</v>
      </c>
      <c r="X28" s="112">
        <f t="shared" ca="1" si="8"/>
        <v>0</v>
      </c>
      <c r="Y28" s="112">
        <f t="shared" ca="1" si="8"/>
        <v>0</v>
      </c>
      <c r="Z28" s="112">
        <f t="shared" ca="1" si="8"/>
        <v>0</v>
      </c>
      <c r="AA28" s="112">
        <f t="shared" ca="1" si="8"/>
        <v>0</v>
      </c>
      <c r="AB28" s="112">
        <f t="shared" ca="1" si="8"/>
        <v>0</v>
      </c>
      <c r="AC28" s="112">
        <f t="shared" ca="1" si="8"/>
        <v>0</v>
      </c>
      <c r="AD28" s="112">
        <f t="shared" ca="1" si="8"/>
        <v>0</v>
      </c>
      <c r="AE28" s="112">
        <f t="shared" ca="1" si="8"/>
        <v>0</v>
      </c>
      <c r="AF28" s="112">
        <f t="shared" ca="1" si="8"/>
        <v>0</v>
      </c>
      <c r="AG28" s="112">
        <f t="shared" ca="1" si="8"/>
        <v>0</v>
      </c>
      <c r="AH28" s="112">
        <f t="shared" ca="1" si="8"/>
        <v>0</v>
      </c>
      <c r="AI28" s="112">
        <f t="shared" ca="1" si="8"/>
        <v>0</v>
      </c>
      <c r="AJ28" s="112">
        <f t="shared" ca="1" si="8"/>
        <v>0</v>
      </c>
      <c r="AK28" s="112">
        <f t="shared" ca="1" si="8"/>
        <v>0</v>
      </c>
      <c r="AL28" s="112">
        <f t="shared" ca="1" si="8"/>
        <v>0</v>
      </c>
      <c r="AM28" s="112">
        <f t="shared" ca="1" si="8"/>
        <v>0</v>
      </c>
      <c r="AN28" s="112">
        <f t="shared" ca="1" si="8"/>
        <v>0</v>
      </c>
      <c r="AO28" s="112">
        <f t="shared" ca="1" si="8"/>
        <v>0</v>
      </c>
      <c r="AP28" s="112">
        <f t="shared" ca="1" si="8"/>
        <v>0</v>
      </c>
      <c r="AQ28" s="112">
        <f t="shared" ca="1" si="8"/>
        <v>0</v>
      </c>
      <c r="AR28" s="112">
        <f t="shared" ca="1" si="8"/>
        <v>0</v>
      </c>
      <c r="AS28" s="112">
        <f t="shared" ca="1" si="8"/>
        <v>0</v>
      </c>
      <c r="AT28" s="113">
        <f t="shared" ca="1" si="8"/>
        <v>0</v>
      </c>
      <c r="AY28" s="68"/>
    </row>
    <row r="29" spans="1:51" s="67" customFormat="1" ht="12.75" customHeight="1" x14ac:dyDescent="0.2">
      <c r="A29" s="108">
        <f ca="1">OFFSET(A29,-2,0)+1</f>
        <v>9</v>
      </c>
      <c r="B29" s="108" t="e">
        <f ca="1">MATCH(A29,OFFSET(PO!$W$15,0,0,PO!$J$15),0)-1</f>
        <v>#N/A</v>
      </c>
      <c r="C29" s="365" t="str">
        <f ca="1">IF(ISERROR($B29),"",OFFSET(PO!$L$15,$B29,0))</f>
        <v/>
      </c>
      <c r="D29" s="371" t="str">
        <f ca="1">IF(ISERROR($B29),"",OFFSET(PO!$L$15,$B29,3))</f>
        <v/>
      </c>
      <c r="E29" s="366">
        <f ca="1">IF(ISERROR($B29),0,OFFSET(PO!$L$15,$B29,9))</f>
        <v>0</v>
      </c>
      <c r="F29" s="109" t="s">
        <v>7</v>
      </c>
      <c r="G29" s="121">
        <f ca="1">G30</f>
        <v>0</v>
      </c>
      <c r="H29" s="121" t="str">
        <f ca="1">IF(MAX($G30:$AT30)=0,"",IF(MATCH(MAX($G30:$AT30),$G30:$AT30,0)&lt;COUNTA($G$12:H$12),"",MAX($G30:H30)-MAX($G30:G30)))</f>
        <v/>
      </c>
      <c r="I29" s="121" t="str">
        <f ca="1">IF(MAX($G30:$AT30)=0,"",IF(MATCH(MAX($G30:$AT30),$G30:$AT30,0)&lt;COUNTA($G$12:I$12),"",MAX($G30:I30)-MAX($G30:H30)))</f>
        <v/>
      </c>
      <c r="J29" s="121" t="str">
        <f ca="1">IF(MAX($G30:$AT30)=0,"",IF(MATCH(MAX($G30:$AT30),$G30:$AT30,0)&lt;COUNTA($G$12:J$12),"",MAX($G30:J30)-MAX($G30:I30)))</f>
        <v/>
      </c>
      <c r="K29" s="121" t="str">
        <f ca="1">IF(MAX($G30:$AT30)=0,"",IF(MATCH(MAX($G30:$AT30),$G30:$AT30,0)&lt;COUNTA($G$12:K$12),"",MAX($G30:K30)-MAX($G30:J30)))</f>
        <v/>
      </c>
      <c r="L29" s="121" t="str">
        <f ca="1">IF(MAX($G30:$AT30)=0,"",IF(MATCH(MAX($G30:$AT30),$G30:$AT30,0)&lt;COUNTA($G$12:L$12),"",MAX($G30:L30)-MAX($G30:K30)))</f>
        <v/>
      </c>
      <c r="M29" s="121" t="str">
        <f ca="1">IF(MAX($G30:$AT30)=0,"",IF(MATCH(MAX($G30:$AT30),$G30:$AT30,0)&lt;COUNTA($G$12:M$12),"",MAX($G30:M30)-MAX($G30:L30)))</f>
        <v/>
      </c>
      <c r="N29" s="121" t="str">
        <f ca="1">IF(MAX($G30:$AT30)=0,"",IF(MATCH(MAX($G30:$AT30),$G30:$AT30,0)&lt;COUNTA($G$12:N$12),"",MAX($G30:N30)-MAX($G30:M30)))</f>
        <v/>
      </c>
      <c r="O29" s="121" t="str">
        <f ca="1">IF(MAX($G30:$AT30)=0,"",IF(MATCH(MAX($G30:$AT30),$G30:$AT30,0)&lt;COUNTA($G$12:O$12),"",MAX($G30:O30)-MAX($G30:N30)))</f>
        <v/>
      </c>
      <c r="P29" s="121" t="str">
        <f ca="1">IF(MAX($G30:$AT30)=0,"",IF(MATCH(MAX($G30:$AT30),$G30:$AT30,0)&lt;COUNTA($G$12:P$12),"",MAX($G30:P30)-MAX($G30:O30)))</f>
        <v/>
      </c>
      <c r="Q29" s="121" t="str">
        <f ca="1">IF(MAX($G30:$AT30)=0,"",IF(MATCH(MAX($G30:$AT30),$G30:$AT30,0)&lt;COUNTA($G$12:Q$12),"",MAX($G30:Q30)-MAX($G30:P30)))</f>
        <v/>
      </c>
      <c r="R29" s="121" t="str">
        <f ca="1">IF(MAX($G30:$AT30)=0,"",IF(MATCH(MAX($G30:$AT30),$G30:$AT30,0)&lt;COUNTA($G$12:R$12),"",MAX($G30:R30)-MAX($G30:Q30)))</f>
        <v/>
      </c>
      <c r="S29" s="121" t="str">
        <f ca="1">IF(MAX($G30:$AT30)=0,"",IF(MATCH(MAX($G30:$AT30),$G30:$AT30,0)&lt;COUNTA($G$12:S$12),"",MAX($G30:S30)-MAX($G30:R30)))</f>
        <v/>
      </c>
      <c r="T29" s="121" t="str">
        <f ca="1">IF(MAX($G30:$AT30)=0,"",IF(MATCH(MAX($G30:$AT30),$G30:$AT30,0)&lt;COUNTA($G$12:T$12),"",MAX($G30:T30)-MAX($G30:S30)))</f>
        <v/>
      </c>
      <c r="U29" s="121" t="str">
        <f ca="1">IF(MAX($G30:$AT30)=0,"",IF(MATCH(MAX($G30:$AT30),$G30:$AT30,0)&lt;COUNTA($G$12:U$12),"",MAX($G30:U30)-MAX($G30:T30)))</f>
        <v/>
      </c>
      <c r="V29" s="121" t="str">
        <f ca="1">IF(MAX($G30:$AT30)=0,"",IF(MATCH(MAX($G30:$AT30),$G30:$AT30,0)&lt;COUNTA($G$12:V$12),"",MAX($G30:V30)-MAX($G30:U30)))</f>
        <v/>
      </c>
      <c r="W29" s="121" t="str">
        <f ca="1">IF(MAX($G30:$AT30)=0,"",IF(MATCH(MAX($G30:$AT30),$G30:$AT30,0)&lt;COUNTA($G$12:W$12),"",MAX($G30:W30)-MAX($G30:V30)))</f>
        <v/>
      </c>
      <c r="X29" s="121" t="str">
        <f ca="1">IF(MAX($G30:$AT30)=0,"",IF(MATCH(MAX($G30:$AT30),$G30:$AT30,0)&lt;COUNTA($G$12:X$12),"",MAX($G30:X30)-MAX($G30:W30)))</f>
        <v/>
      </c>
      <c r="Y29" s="121" t="str">
        <f ca="1">IF(MAX($G30:$AT30)=0,"",IF(MATCH(MAX($G30:$AT30),$G30:$AT30,0)&lt;COUNTA($G$12:Y$12),"",MAX($G30:Y30)-MAX($G30:X30)))</f>
        <v/>
      </c>
      <c r="Z29" s="121" t="str">
        <f ca="1">IF(MAX($G30:$AT30)=0,"",IF(MATCH(MAX($G30:$AT30),$G30:$AT30,0)&lt;COUNTA($G$12:Z$12),"",MAX($G30:Z30)-MAX($G30:Y30)))</f>
        <v/>
      </c>
      <c r="AA29" s="121" t="str">
        <f ca="1">IF(MAX($G30:$AT30)=0,"",IF(MATCH(MAX($G30:$AT30),$G30:$AT30,0)&lt;COUNTA($G$12:AA$12),"",MAX($G30:AA30)-MAX($G30:Z30)))</f>
        <v/>
      </c>
      <c r="AB29" s="121" t="str">
        <f ca="1">IF(MAX($G30:$AT30)=0,"",IF(MATCH(MAX($G30:$AT30),$G30:$AT30,0)&lt;COUNTA($G$12:AB$12),"",MAX($G30:AB30)-MAX($G30:AA30)))</f>
        <v/>
      </c>
      <c r="AC29" s="121" t="str">
        <f ca="1">IF(MAX($G30:$AT30)=0,"",IF(MATCH(MAX($G30:$AT30),$G30:$AT30,0)&lt;COUNTA($G$12:AC$12),"",MAX($G30:AC30)-MAX($G30:AB30)))</f>
        <v/>
      </c>
      <c r="AD29" s="121" t="str">
        <f ca="1">IF(MAX($G30:$AT30)=0,"",IF(MATCH(MAX($G30:$AT30),$G30:$AT30,0)&lt;COUNTA($G$12:AD$12),"",MAX($G30:AD30)-MAX($G30:AC30)))</f>
        <v/>
      </c>
      <c r="AE29" s="121" t="str">
        <f ca="1">IF(MAX($G30:$AT30)=0,"",IF(MATCH(MAX($G30:$AT30),$G30:$AT30,0)&lt;COUNTA($G$12:AE$12),"",MAX($G30:AE30)-MAX($G30:AD30)))</f>
        <v/>
      </c>
      <c r="AF29" s="121" t="str">
        <f ca="1">IF(MAX($G30:$AT30)=0,"",IF(MATCH(MAX($G30:$AT30),$G30:$AT30,0)&lt;COUNTA($G$12:AF$12),"",MAX($G30:AF30)-MAX($G30:AE30)))</f>
        <v/>
      </c>
      <c r="AG29" s="121" t="str">
        <f ca="1">IF(MAX($G30:$AT30)=0,"",IF(MATCH(MAX($G30:$AT30),$G30:$AT30,0)&lt;COUNTA($G$12:AG$12),"",MAX($G30:AG30)-MAX($G30:AF30)))</f>
        <v/>
      </c>
      <c r="AH29" s="121" t="str">
        <f ca="1">IF(MAX($G30:$AT30)=0,"",IF(MATCH(MAX($G30:$AT30),$G30:$AT30,0)&lt;COUNTA($G$12:AH$12),"",MAX($G30:AH30)-MAX($G30:AG30)))</f>
        <v/>
      </c>
      <c r="AI29" s="121" t="str">
        <f ca="1">IF(MAX($G30:$AT30)=0,"",IF(MATCH(MAX($G30:$AT30),$G30:$AT30,0)&lt;COUNTA($G$12:AI$12),"",MAX($G30:AI30)-MAX($G30:AH30)))</f>
        <v/>
      </c>
      <c r="AJ29" s="121" t="str">
        <f ca="1">IF(MAX($G30:$AT30)=0,"",IF(MATCH(MAX($G30:$AT30),$G30:$AT30,0)&lt;COUNTA($G$12:AJ$12),"",MAX($G30:AJ30)-MAX($G30:AI30)))</f>
        <v/>
      </c>
      <c r="AK29" s="121" t="str">
        <f ca="1">IF(MAX($G30:$AT30)=0,"",IF(MATCH(MAX($G30:$AT30),$G30:$AT30,0)&lt;COUNTA($G$12:AK$12),"",MAX($G30:AK30)-MAX($G30:AJ30)))</f>
        <v/>
      </c>
      <c r="AL29" s="121" t="str">
        <f ca="1">IF(MAX($G30:$AT30)=0,"",IF(MATCH(MAX($G30:$AT30),$G30:$AT30,0)&lt;COUNTA($G$12:AL$12),"",MAX($G30:AL30)-MAX($G30:AK30)))</f>
        <v/>
      </c>
      <c r="AM29" s="121" t="str">
        <f ca="1">IF(MAX($G30:$AT30)=0,"",IF(MATCH(MAX($G30:$AT30),$G30:$AT30,0)&lt;COUNTA($G$12:AM$12),"",MAX($G30:AM30)-MAX($G30:AL30)))</f>
        <v/>
      </c>
      <c r="AN29" s="121" t="str">
        <f ca="1">IF(MAX($G30:$AT30)=0,"",IF(MATCH(MAX($G30:$AT30),$G30:$AT30,0)&lt;COUNTA($G$12:AN$12),"",MAX($G30:AN30)-MAX($G30:AM30)))</f>
        <v/>
      </c>
      <c r="AO29" s="121" t="str">
        <f ca="1">IF(MAX($G30:$AT30)=0,"",IF(MATCH(MAX($G30:$AT30),$G30:$AT30,0)&lt;COUNTA($G$12:AO$12),"",MAX($G30:AO30)-MAX($G30:AN30)))</f>
        <v/>
      </c>
      <c r="AP29" s="121" t="str">
        <f ca="1">IF(MAX($G30:$AT30)=0,"",IF(MATCH(MAX($G30:$AT30),$G30:$AT30,0)&lt;COUNTA($G$12:AP$12),"",MAX($G30:AP30)-MAX($G30:AO30)))</f>
        <v/>
      </c>
      <c r="AQ29" s="121" t="str">
        <f ca="1">IF(MAX($G30:$AT30)=0,"",IF(MATCH(MAX($G30:$AT30),$G30:$AT30,0)&lt;COUNTA($G$12:AQ$12),"",MAX($G30:AQ30)-MAX($G30:AP30)))</f>
        <v/>
      </c>
      <c r="AR29" s="121" t="str">
        <f ca="1">IF(MAX($G30:$AT30)=0,"",IF(MATCH(MAX($G30:$AT30),$G30:$AT30,0)&lt;COUNTA($G$12:AR$12),"",MAX($G30:AR30)-MAX($G30:AQ30)))</f>
        <v/>
      </c>
      <c r="AS29" s="121" t="str">
        <f ca="1">IF(MAX($G30:$AT30)=0,"",IF(MATCH(MAX($G30:$AT30),$G30:$AT30,0)&lt;COUNTA($G$12:AS$12),"",MAX($G30:AS30)-MAX($G30:AR30)))</f>
        <v/>
      </c>
      <c r="AT29" s="122" t="str">
        <f ca="1">IF(MAX($G30:$AT30)=0,"",IF(MATCH(MAX($G30:$AT30),$G30:$AT30,0)&lt;COUNTA($G$12:AT$12),"",MAX($G30:AT30)-MAX($G30:AS30)))</f>
        <v/>
      </c>
      <c r="AY29" s="68"/>
    </row>
    <row r="30" spans="1:51" s="67" customFormat="1" ht="12.75" customHeight="1" x14ac:dyDescent="0.2">
      <c r="A30" s="108"/>
      <c r="B30" s="108"/>
      <c r="C30" s="361"/>
      <c r="D30" s="359"/>
      <c r="E30" s="367"/>
      <c r="F30" s="111" t="s">
        <v>9</v>
      </c>
      <c r="G30" s="112">
        <f ca="1">IF(ISNUMBER(VALUE($C29)),SUMPRODUCT(OFFSET(G30,2,0,COUNTIF($C$13:$C$42,$C29&amp;".*")*2-1),OFFSET($E29,2,0,COUNTIF($C$13:$C$42,$C29&amp;".*")*2-1))/$E29,0)</f>
        <v>0</v>
      </c>
      <c r="H30" s="112">
        <f t="shared" ref="H30:AT30" ca="1" si="9">IF(ISNUMBER(VALUE($C29)),SUMPRODUCT(OFFSET(H30,2,0,COUNTIF($C$13:$C$42,$C29&amp;".*")*2-1),OFFSET($E29,2,0,COUNTIF($C$13:$C$42,$C29&amp;".*")*2-1))/$E29,G30)</f>
        <v>0</v>
      </c>
      <c r="I30" s="112">
        <f t="shared" ca="1" si="9"/>
        <v>0</v>
      </c>
      <c r="J30" s="112">
        <f t="shared" ca="1" si="9"/>
        <v>0</v>
      </c>
      <c r="K30" s="112">
        <f t="shared" ca="1" si="9"/>
        <v>0</v>
      </c>
      <c r="L30" s="112">
        <f t="shared" ca="1" si="9"/>
        <v>0</v>
      </c>
      <c r="M30" s="112">
        <f t="shared" ca="1" si="9"/>
        <v>0</v>
      </c>
      <c r="N30" s="112">
        <f t="shared" ca="1" si="9"/>
        <v>0</v>
      </c>
      <c r="O30" s="112">
        <f t="shared" ca="1" si="9"/>
        <v>0</v>
      </c>
      <c r="P30" s="112">
        <f t="shared" ca="1" si="9"/>
        <v>0</v>
      </c>
      <c r="Q30" s="112">
        <f t="shared" ca="1" si="9"/>
        <v>0</v>
      </c>
      <c r="R30" s="112">
        <f t="shared" ca="1" si="9"/>
        <v>0</v>
      </c>
      <c r="S30" s="112">
        <f t="shared" ca="1" si="9"/>
        <v>0</v>
      </c>
      <c r="T30" s="112">
        <f t="shared" ca="1" si="9"/>
        <v>0</v>
      </c>
      <c r="U30" s="112">
        <f t="shared" ca="1" si="9"/>
        <v>0</v>
      </c>
      <c r="V30" s="112">
        <f t="shared" ca="1" si="9"/>
        <v>0</v>
      </c>
      <c r="W30" s="112">
        <f t="shared" ca="1" si="9"/>
        <v>0</v>
      </c>
      <c r="X30" s="112">
        <f t="shared" ca="1" si="9"/>
        <v>0</v>
      </c>
      <c r="Y30" s="112">
        <f t="shared" ca="1" si="9"/>
        <v>0</v>
      </c>
      <c r="Z30" s="112">
        <f t="shared" ca="1" si="9"/>
        <v>0</v>
      </c>
      <c r="AA30" s="112">
        <f t="shared" ca="1" si="9"/>
        <v>0</v>
      </c>
      <c r="AB30" s="112">
        <f t="shared" ca="1" si="9"/>
        <v>0</v>
      </c>
      <c r="AC30" s="112">
        <f t="shared" ca="1" si="9"/>
        <v>0</v>
      </c>
      <c r="AD30" s="112">
        <f t="shared" ca="1" si="9"/>
        <v>0</v>
      </c>
      <c r="AE30" s="112">
        <f t="shared" ca="1" si="9"/>
        <v>0</v>
      </c>
      <c r="AF30" s="112">
        <f t="shared" ca="1" si="9"/>
        <v>0</v>
      </c>
      <c r="AG30" s="112">
        <f t="shared" ca="1" si="9"/>
        <v>0</v>
      </c>
      <c r="AH30" s="112">
        <f t="shared" ca="1" si="9"/>
        <v>0</v>
      </c>
      <c r="AI30" s="112">
        <f t="shared" ca="1" si="9"/>
        <v>0</v>
      </c>
      <c r="AJ30" s="112">
        <f t="shared" ca="1" si="9"/>
        <v>0</v>
      </c>
      <c r="AK30" s="112">
        <f t="shared" ca="1" si="9"/>
        <v>0</v>
      </c>
      <c r="AL30" s="112">
        <f t="shared" ca="1" si="9"/>
        <v>0</v>
      </c>
      <c r="AM30" s="112">
        <f t="shared" ca="1" si="9"/>
        <v>0</v>
      </c>
      <c r="AN30" s="112">
        <f t="shared" ca="1" si="9"/>
        <v>0</v>
      </c>
      <c r="AO30" s="112">
        <f t="shared" ca="1" si="9"/>
        <v>0</v>
      </c>
      <c r="AP30" s="112">
        <f t="shared" ca="1" si="9"/>
        <v>0</v>
      </c>
      <c r="AQ30" s="112">
        <f t="shared" ca="1" si="9"/>
        <v>0</v>
      </c>
      <c r="AR30" s="112">
        <f t="shared" ca="1" si="9"/>
        <v>0</v>
      </c>
      <c r="AS30" s="112">
        <f t="shared" ca="1" si="9"/>
        <v>0</v>
      </c>
      <c r="AT30" s="113">
        <f t="shared" ca="1" si="9"/>
        <v>0</v>
      </c>
      <c r="AY30" s="68"/>
    </row>
    <row r="31" spans="1:51" s="67" customFormat="1" ht="12.75" customHeight="1" x14ac:dyDescent="0.2">
      <c r="A31" s="108">
        <f ca="1">OFFSET(A31,-2,0)+1</f>
        <v>10</v>
      </c>
      <c r="B31" s="108" t="e">
        <f ca="1">MATCH(A31,OFFSET(PO!$W$15,0,0,PO!$J$15),0)-1</f>
        <v>#N/A</v>
      </c>
      <c r="C31" s="360" t="str">
        <f ca="1">IF(ISERROR($B31),"",OFFSET(PO!$L$15,$B31,0))</f>
        <v/>
      </c>
      <c r="D31" s="358" t="str">
        <f ca="1">IF(ISERROR($B31),"",OFFSET(PO!$L$15,$B31,3))</f>
        <v/>
      </c>
      <c r="E31" s="372">
        <f ca="1">IF(ISERROR($B31),0,OFFSET(PO!$L$15,$B31,9))</f>
        <v>0</v>
      </c>
      <c r="F31" s="114" t="s">
        <v>7</v>
      </c>
      <c r="G31" s="119">
        <f ca="1">G32</f>
        <v>0</v>
      </c>
      <c r="H31" s="119" t="str">
        <f ca="1">IF(MAX($G32:$AT32)=0,"",IF(MATCH(MAX($G32:$AT32),$G32:$AT32,0)&lt;COUNTA($G$12:H$12),"",MAX($G32:H32)-MAX($G32:G32)))</f>
        <v/>
      </c>
      <c r="I31" s="119" t="str">
        <f ca="1">IF(MAX($G32:$AT32)=0,"",IF(MATCH(MAX($G32:$AT32),$G32:$AT32,0)&lt;COUNTA($G$12:I$12),"",MAX($G32:I32)-MAX($G32:H32)))</f>
        <v/>
      </c>
      <c r="J31" s="119" t="str">
        <f ca="1">IF(MAX($G32:$AT32)=0,"",IF(MATCH(MAX($G32:$AT32),$G32:$AT32,0)&lt;COUNTA($G$12:J$12),"",MAX($G32:J32)-MAX($G32:I32)))</f>
        <v/>
      </c>
      <c r="K31" s="119" t="str">
        <f ca="1">IF(MAX($G32:$AT32)=0,"",IF(MATCH(MAX($G32:$AT32),$G32:$AT32,0)&lt;COUNTA($G$12:K$12),"",MAX($G32:K32)-MAX($G32:J32)))</f>
        <v/>
      </c>
      <c r="L31" s="119" t="str">
        <f ca="1">IF(MAX($G32:$AT32)=0,"",IF(MATCH(MAX($G32:$AT32),$G32:$AT32,0)&lt;COUNTA($G$12:L$12),"",MAX($G32:L32)-MAX($G32:K32)))</f>
        <v/>
      </c>
      <c r="M31" s="119" t="str">
        <f ca="1">IF(MAX($G32:$AT32)=0,"",IF(MATCH(MAX($G32:$AT32),$G32:$AT32,0)&lt;COUNTA($G$12:M$12),"",MAX($G32:M32)-MAX($G32:L32)))</f>
        <v/>
      </c>
      <c r="N31" s="119" t="str">
        <f ca="1">IF(MAX($G32:$AT32)=0,"",IF(MATCH(MAX($G32:$AT32),$G32:$AT32,0)&lt;COUNTA($G$12:N$12),"",MAX($G32:N32)-MAX($G32:M32)))</f>
        <v/>
      </c>
      <c r="O31" s="119" t="str">
        <f ca="1">IF(MAX($G32:$AT32)=0,"",IF(MATCH(MAX($G32:$AT32),$G32:$AT32,0)&lt;COUNTA($G$12:O$12),"",MAX($G32:O32)-MAX($G32:N32)))</f>
        <v/>
      </c>
      <c r="P31" s="119" t="str">
        <f ca="1">IF(MAX($G32:$AT32)=0,"",IF(MATCH(MAX($G32:$AT32),$G32:$AT32,0)&lt;COUNTA($G$12:P$12),"",MAX($G32:P32)-MAX($G32:O32)))</f>
        <v/>
      </c>
      <c r="Q31" s="119" t="str">
        <f ca="1">IF(MAX($G32:$AT32)=0,"",IF(MATCH(MAX($G32:$AT32),$G32:$AT32,0)&lt;COUNTA($G$12:Q$12),"",MAX($G32:Q32)-MAX($G32:P32)))</f>
        <v/>
      </c>
      <c r="R31" s="119" t="str">
        <f ca="1">IF(MAX($G32:$AT32)=0,"",IF(MATCH(MAX($G32:$AT32),$G32:$AT32,0)&lt;COUNTA($G$12:R$12),"",MAX($G32:R32)-MAX($G32:Q32)))</f>
        <v/>
      </c>
      <c r="S31" s="119" t="str">
        <f ca="1">IF(MAX($G32:$AT32)=0,"",IF(MATCH(MAX($G32:$AT32),$G32:$AT32,0)&lt;COUNTA($G$12:S$12),"",MAX($G32:S32)-MAX($G32:R32)))</f>
        <v/>
      </c>
      <c r="T31" s="119" t="str">
        <f ca="1">IF(MAX($G32:$AT32)=0,"",IF(MATCH(MAX($G32:$AT32),$G32:$AT32,0)&lt;COUNTA($G$12:T$12),"",MAX($G32:T32)-MAX($G32:S32)))</f>
        <v/>
      </c>
      <c r="U31" s="119" t="str">
        <f ca="1">IF(MAX($G32:$AT32)=0,"",IF(MATCH(MAX($G32:$AT32),$G32:$AT32,0)&lt;COUNTA($G$12:U$12),"",MAX($G32:U32)-MAX($G32:T32)))</f>
        <v/>
      </c>
      <c r="V31" s="119" t="str">
        <f ca="1">IF(MAX($G32:$AT32)=0,"",IF(MATCH(MAX($G32:$AT32),$G32:$AT32,0)&lt;COUNTA($G$12:V$12),"",MAX($G32:V32)-MAX($G32:U32)))</f>
        <v/>
      </c>
      <c r="W31" s="119" t="str">
        <f ca="1">IF(MAX($G32:$AT32)=0,"",IF(MATCH(MAX($G32:$AT32),$G32:$AT32,0)&lt;COUNTA($G$12:W$12),"",MAX($G32:W32)-MAX($G32:V32)))</f>
        <v/>
      </c>
      <c r="X31" s="119" t="str">
        <f ca="1">IF(MAX($G32:$AT32)=0,"",IF(MATCH(MAX($G32:$AT32),$G32:$AT32,0)&lt;COUNTA($G$12:X$12),"",MAX($G32:X32)-MAX($G32:W32)))</f>
        <v/>
      </c>
      <c r="Y31" s="119" t="str">
        <f ca="1">IF(MAX($G32:$AT32)=0,"",IF(MATCH(MAX($G32:$AT32),$G32:$AT32,0)&lt;COUNTA($G$12:Y$12),"",MAX($G32:Y32)-MAX($G32:X32)))</f>
        <v/>
      </c>
      <c r="Z31" s="119" t="str">
        <f ca="1">IF(MAX($G32:$AT32)=0,"",IF(MATCH(MAX($G32:$AT32),$G32:$AT32,0)&lt;COUNTA($G$12:Z$12),"",MAX($G32:Z32)-MAX($G32:Y32)))</f>
        <v/>
      </c>
      <c r="AA31" s="119" t="str">
        <f ca="1">IF(MAX($G32:$AT32)=0,"",IF(MATCH(MAX($G32:$AT32),$G32:$AT32,0)&lt;COUNTA($G$12:AA$12),"",MAX($G32:AA32)-MAX($G32:Z32)))</f>
        <v/>
      </c>
      <c r="AB31" s="119" t="str">
        <f ca="1">IF(MAX($G32:$AT32)=0,"",IF(MATCH(MAX($G32:$AT32),$G32:$AT32,0)&lt;COUNTA($G$12:AB$12),"",MAX($G32:AB32)-MAX($G32:AA32)))</f>
        <v/>
      </c>
      <c r="AC31" s="119" t="str">
        <f ca="1">IF(MAX($G32:$AT32)=0,"",IF(MATCH(MAX($G32:$AT32),$G32:$AT32,0)&lt;COUNTA($G$12:AC$12),"",MAX($G32:AC32)-MAX($G32:AB32)))</f>
        <v/>
      </c>
      <c r="AD31" s="119" t="str">
        <f ca="1">IF(MAX($G32:$AT32)=0,"",IF(MATCH(MAX($G32:$AT32),$G32:$AT32,0)&lt;COUNTA($G$12:AD$12),"",MAX($G32:AD32)-MAX($G32:AC32)))</f>
        <v/>
      </c>
      <c r="AE31" s="119" t="str">
        <f ca="1">IF(MAX($G32:$AT32)=0,"",IF(MATCH(MAX($G32:$AT32),$G32:$AT32,0)&lt;COUNTA($G$12:AE$12),"",MAX($G32:AE32)-MAX($G32:AD32)))</f>
        <v/>
      </c>
      <c r="AF31" s="119" t="str">
        <f ca="1">IF(MAX($G32:$AT32)=0,"",IF(MATCH(MAX($G32:$AT32),$G32:$AT32,0)&lt;COUNTA($G$12:AF$12),"",MAX($G32:AF32)-MAX($G32:AE32)))</f>
        <v/>
      </c>
      <c r="AG31" s="119" t="str">
        <f ca="1">IF(MAX($G32:$AT32)=0,"",IF(MATCH(MAX($G32:$AT32),$G32:$AT32,0)&lt;COUNTA($G$12:AG$12),"",MAX($G32:AG32)-MAX($G32:AF32)))</f>
        <v/>
      </c>
      <c r="AH31" s="119" t="str">
        <f ca="1">IF(MAX($G32:$AT32)=0,"",IF(MATCH(MAX($G32:$AT32),$G32:$AT32,0)&lt;COUNTA($G$12:AH$12),"",MAX($G32:AH32)-MAX($G32:AG32)))</f>
        <v/>
      </c>
      <c r="AI31" s="119" t="str">
        <f ca="1">IF(MAX($G32:$AT32)=0,"",IF(MATCH(MAX($G32:$AT32),$G32:$AT32,0)&lt;COUNTA($G$12:AI$12),"",MAX($G32:AI32)-MAX($G32:AH32)))</f>
        <v/>
      </c>
      <c r="AJ31" s="119" t="str">
        <f ca="1">IF(MAX($G32:$AT32)=0,"",IF(MATCH(MAX($G32:$AT32),$G32:$AT32,0)&lt;COUNTA($G$12:AJ$12),"",MAX($G32:AJ32)-MAX($G32:AI32)))</f>
        <v/>
      </c>
      <c r="AK31" s="119" t="str">
        <f ca="1">IF(MAX($G32:$AT32)=0,"",IF(MATCH(MAX($G32:$AT32),$G32:$AT32,0)&lt;COUNTA($G$12:AK$12),"",MAX($G32:AK32)-MAX($G32:AJ32)))</f>
        <v/>
      </c>
      <c r="AL31" s="119" t="str">
        <f ca="1">IF(MAX($G32:$AT32)=0,"",IF(MATCH(MAX($G32:$AT32),$G32:$AT32,0)&lt;COUNTA($G$12:AL$12),"",MAX($G32:AL32)-MAX($G32:AK32)))</f>
        <v/>
      </c>
      <c r="AM31" s="119" t="str">
        <f ca="1">IF(MAX($G32:$AT32)=0,"",IF(MATCH(MAX($G32:$AT32),$G32:$AT32,0)&lt;COUNTA($G$12:AM$12),"",MAX($G32:AM32)-MAX($G32:AL32)))</f>
        <v/>
      </c>
      <c r="AN31" s="119" t="str">
        <f ca="1">IF(MAX($G32:$AT32)=0,"",IF(MATCH(MAX($G32:$AT32),$G32:$AT32,0)&lt;COUNTA($G$12:AN$12),"",MAX($G32:AN32)-MAX($G32:AM32)))</f>
        <v/>
      </c>
      <c r="AO31" s="119" t="str">
        <f ca="1">IF(MAX($G32:$AT32)=0,"",IF(MATCH(MAX($G32:$AT32),$G32:$AT32,0)&lt;COUNTA($G$12:AO$12),"",MAX($G32:AO32)-MAX($G32:AN32)))</f>
        <v/>
      </c>
      <c r="AP31" s="119" t="str">
        <f ca="1">IF(MAX($G32:$AT32)=0,"",IF(MATCH(MAX($G32:$AT32),$G32:$AT32,0)&lt;COUNTA($G$12:AP$12),"",MAX($G32:AP32)-MAX($G32:AO32)))</f>
        <v/>
      </c>
      <c r="AQ31" s="119" t="str">
        <f ca="1">IF(MAX($G32:$AT32)=0,"",IF(MATCH(MAX($G32:$AT32),$G32:$AT32,0)&lt;COUNTA($G$12:AQ$12),"",MAX($G32:AQ32)-MAX($G32:AP32)))</f>
        <v/>
      </c>
      <c r="AR31" s="119" t="str">
        <f ca="1">IF(MAX($G32:$AT32)=0,"",IF(MATCH(MAX($G32:$AT32),$G32:$AT32,0)&lt;COUNTA($G$12:AR$12),"",MAX($G32:AR32)-MAX($G32:AQ32)))</f>
        <v/>
      </c>
      <c r="AS31" s="119" t="str">
        <f ca="1">IF(MAX($G32:$AT32)=0,"",IF(MATCH(MAX($G32:$AT32),$G32:$AT32,0)&lt;COUNTA($G$12:AS$12),"",MAX($G32:AS32)-MAX($G32:AR32)))</f>
        <v/>
      </c>
      <c r="AT31" s="120" t="str">
        <f ca="1">IF(MAX($G32:$AT32)=0,"",IF(MATCH(MAX($G32:$AT32),$G32:$AT32,0)&lt;COUNTA($G$12:AT$12),"",MAX($G32:AT32)-MAX($G32:AS32)))</f>
        <v/>
      </c>
      <c r="AY31" s="68"/>
    </row>
    <row r="32" spans="1:51" s="67" customFormat="1" ht="12.75" customHeight="1" x14ac:dyDescent="0.2">
      <c r="A32" s="108"/>
      <c r="B32" s="108"/>
      <c r="C32" s="361"/>
      <c r="D32" s="359"/>
      <c r="E32" s="367"/>
      <c r="F32" s="111" t="s">
        <v>9</v>
      </c>
      <c r="G32" s="112">
        <f ca="1">IF(ISNUMBER(VALUE($C31)),SUMPRODUCT(OFFSET(G32,2,0,COUNTIF($C$13:$C$42,$C31&amp;".*")*2-1),OFFSET($E31,2,0,COUNTIF($C$13:$C$42,$C31&amp;".*")*2-1))/$E31,0)</f>
        <v>0</v>
      </c>
      <c r="H32" s="112">
        <f t="shared" ref="H32:AT32" ca="1" si="10">IF(ISNUMBER(VALUE($C31)),SUMPRODUCT(OFFSET(H32,2,0,COUNTIF($C$13:$C$42,$C31&amp;".*")*2-1),OFFSET($E31,2,0,COUNTIF($C$13:$C$42,$C31&amp;".*")*2-1))/$E31,G32)</f>
        <v>0</v>
      </c>
      <c r="I32" s="112">
        <f t="shared" ca="1" si="10"/>
        <v>0</v>
      </c>
      <c r="J32" s="112">
        <f t="shared" ca="1" si="10"/>
        <v>0</v>
      </c>
      <c r="K32" s="112">
        <f t="shared" ca="1" si="10"/>
        <v>0</v>
      </c>
      <c r="L32" s="112">
        <f t="shared" ca="1" si="10"/>
        <v>0</v>
      </c>
      <c r="M32" s="112">
        <f t="shared" ca="1" si="10"/>
        <v>0</v>
      </c>
      <c r="N32" s="112">
        <f t="shared" ca="1" si="10"/>
        <v>0</v>
      </c>
      <c r="O32" s="112">
        <f t="shared" ca="1" si="10"/>
        <v>0</v>
      </c>
      <c r="P32" s="112">
        <f t="shared" ca="1" si="10"/>
        <v>0</v>
      </c>
      <c r="Q32" s="112">
        <f t="shared" ca="1" si="10"/>
        <v>0</v>
      </c>
      <c r="R32" s="112">
        <f t="shared" ca="1" si="10"/>
        <v>0</v>
      </c>
      <c r="S32" s="112">
        <f t="shared" ca="1" si="10"/>
        <v>0</v>
      </c>
      <c r="T32" s="112">
        <f t="shared" ca="1" si="10"/>
        <v>0</v>
      </c>
      <c r="U32" s="112">
        <f t="shared" ca="1" si="10"/>
        <v>0</v>
      </c>
      <c r="V32" s="112">
        <f t="shared" ca="1" si="10"/>
        <v>0</v>
      </c>
      <c r="W32" s="112">
        <f t="shared" ca="1" si="10"/>
        <v>0</v>
      </c>
      <c r="X32" s="112">
        <f t="shared" ca="1" si="10"/>
        <v>0</v>
      </c>
      <c r="Y32" s="112">
        <f t="shared" ca="1" si="10"/>
        <v>0</v>
      </c>
      <c r="Z32" s="112">
        <f t="shared" ca="1" si="10"/>
        <v>0</v>
      </c>
      <c r="AA32" s="112">
        <f t="shared" ca="1" si="10"/>
        <v>0</v>
      </c>
      <c r="AB32" s="112">
        <f t="shared" ca="1" si="10"/>
        <v>0</v>
      </c>
      <c r="AC32" s="112">
        <f t="shared" ca="1" si="10"/>
        <v>0</v>
      </c>
      <c r="AD32" s="112">
        <f t="shared" ca="1" si="10"/>
        <v>0</v>
      </c>
      <c r="AE32" s="112">
        <f t="shared" ca="1" si="10"/>
        <v>0</v>
      </c>
      <c r="AF32" s="112">
        <f t="shared" ca="1" si="10"/>
        <v>0</v>
      </c>
      <c r="AG32" s="112">
        <f t="shared" ca="1" si="10"/>
        <v>0</v>
      </c>
      <c r="AH32" s="112">
        <f t="shared" ca="1" si="10"/>
        <v>0</v>
      </c>
      <c r="AI32" s="112">
        <f t="shared" ca="1" si="10"/>
        <v>0</v>
      </c>
      <c r="AJ32" s="112">
        <f t="shared" ca="1" si="10"/>
        <v>0</v>
      </c>
      <c r="AK32" s="112">
        <f t="shared" ca="1" si="10"/>
        <v>0</v>
      </c>
      <c r="AL32" s="112">
        <f t="shared" ca="1" si="10"/>
        <v>0</v>
      </c>
      <c r="AM32" s="112">
        <f t="shared" ca="1" si="10"/>
        <v>0</v>
      </c>
      <c r="AN32" s="112">
        <f t="shared" ca="1" si="10"/>
        <v>0</v>
      </c>
      <c r="AO32" s="112">
        <f t="shared" ca="1" si="10"/>
        <v>0</v>
      </c>
      <c r="AP32" s="112">
        <f t="shared" ca="1" si="10"/>
        <v>0</v>
      </c>
      <c r="AQ32" s="112">
        <f t="shared" ca="1" si="10"/>
        <v>0</v>
      </c>
      <c r="AR32" s="112">
        <f t="shared" ca="1" si="10"/>
        <v>0</v>
      </c>
      <c r="AS32" s="112">
        <f t="shared" ca="1" si="10"/>
        <v>0</v>
      </c>
      <c r="AT32" s="113">
        <f t="shared" ca="1" si="10"/>
        <v>0</v>
      </c>
      <c r="AY32" s="68"/>
    </row>
    <row r="33" spans="1:54" s="67" customFormat="1" ht="12.75" customHeight="1" x14ac:dyDescent="0.2">
      <c r="A33" s="108">
        <f ca="1">OFFSET(A33,-2,0)+1</f>
        <v>11</v>
      </c>
      <c r="B33" s="108" t="e">
        <f ca="1">MATCH(A33,OFFSET(PO!$W$15,0,0,PO!$J$15),0)-1</f>
        <v>#N/A</v>
      </c>
      <c r="C33" s="365" t="str">
        <f ca="1">IF(ISERROR($B33),"",OFFSET(PO!$L$15,$B33,0))</f>
        <v/>
      </c>
      <c r="D33" s="371" t="str">
        <f ca="1">IF(ISERROR($B33),"",OFFSET(PO!$L$15,$B33,3))</f>
        <v/>
      </c>
      <c r="E33" s="366">
        <f ca="1">IF(ISERROR($B33),0,OFFSET(PO!$L$15,$B33,9))</f>
        <v>0</v>
      </c>
      <c r="F33" s="109" t="s">
        <v>7</v>
      </c>
      <c r="G33" s="121">
        <f ca="1">G34</f>
        <v>0</v>
      </c>
      <c r="H33" s="121" t="str">
        <f ca="1">IF(MAX($G34:$AT34)=0,"",IF(MATCH(MAX($G34:$AT34),$G34:$AT34,0)&lt;COUNTA($G$12:H$12),"",MAX($G34:H34)-MAX($G34:G34)))</f>
        <v/>
      </c>
      <c r="I33" s="121" t="str">
        <f ca="1">IF(MAX($G34:$AT34)=0,"",IF(MATCH(MAX($G34:$AT34),$G34:$AT34,0)&lt;COUNTA($G$12:I$12),"",MAX($G34:I34)-MAX($G34:H34)))</f>
        <v/>
      </c>
      <c r="J33" s="121" t="str">
        <f ca="1">IF(MAX($G34:$AT34)=0,"",IF(MATCH(MAX($G34:$AT34),$G34:$AT34,0)&lt;COUNTA($G$12:J$12),"",MAX($G34:J34)-MAX($G34:I34)))</f>
        <v/>
      </c>
      <c r="K33" s="121" t="str">
        <f ca="1">IF(MAX($G34:$AT34)=0,"",IF(MATCH(MAX($G34:$AT34),$G34:$AT34,0)&lt;COUNTA($G$12:K$12),"",MAX($G34:K34)-MAX($G34:J34)))</f>
        <v/>
      </c>
      <c r="L33" s="121" t="str">
        <f ca="1">IF(MAX($G34:$AT34)=0,"",IF(MATCH(MAX($G34:$AT34),$G34:$AT34,0)&lt;COUNTA($G$12:L$12),"",MAX($G34:L34)-MAX($G34:K34)))</f>
        <v/>
      </c>
      <c r="M33" s="121" t="str">
        <f ca="1">IF(MAX($G34:$AT34)=0,"",IF(MATCH(MAX($G34:$AT34),$G34:$AT34,0)&lt;COUNTA($G$12:M$12),"",MAX($G34:M34)-MAX($G34:L34)))</f>
        <v/>
      </c>
      <c r="N33" s="121" t="str">
        <f ca="1">IF(MAX($G34:$AT34)=0,"",IF(MATCH(MAX($G34:$AT34),$G34:$AT34,0)&lt;COUNTA($G$12:N$12),"",MAX($G34:N34)-MAX($G34:M34)))</f>
        <v/>
      </c>
      <c r="O33" s="121" t="str">
        <f ca="1">IF(MAX($G34:$AT34)=0,"",IF(MATCH(MAX($G34:$AT34),$G34:$AT34,0)&lt;COUNTA($G$12:O$12),"",MAX($G34:O34)-MAX($G34:N34)))</f>
        <v/>
      </c>
      <c r="P33" s="121" t="str">
        <f ca="1">IF(MAX($G34:$AT34)=0,"",IF(MATCH(MAX($G34:$AT34),$G34:$AT34,0)&lt;COUNTA($G$12:P$12),"",MAX($G34:P34)-MAX($G34:O34)))</f>
        <v/>
      </c>
      <c r="Q33" s="121" t="str">
        <f ca="1">IF(MAX($G34:$AT34)=0,"",IF(MATCH(MAX($G34:$AT34),$G34:$AT34,0)&lt;COUNTA($G$12:Q$12),"",MAX($G34:Q34)-MAX($G34:P34)))</f>
        <v/>
      </c>
      <c r="R33" s="121" t="str">
        <f ca="1">IF(MAX($G34:$AT34)=0,"",IF(MATCH(MAX($G34:$AT34),$G34:$AT34,0)&lt;COUNTA($G$12:R$12),"",MAX($G34:R34)-MAX($G34:Q34)))</f>
        <v/>
      </c>
      <c r="S33" s="121" t="str">
        <f ca="1">IF(MAX($G34:$AT34)=0,"",IF(MATCH(MAX($G34:$AT34),$G34:$AT34,0)&lt;COUNTA($G$12:S$12),"",MAX($G34:S34)-MAX($G34:R34)))</f>
        <v/>
      </c>
      <c r="T33" s="121" t="str">
        <f ca="1">IF(MAX($G34:$AT34)=0,"",IF(MATCH(MAX($G34:$AT34),$G34:$AT34,0)&lt;COUNTA($G$12:T$12),"",MAX($G34:T34)-MAX($G34:S34)))</f>
        <v/>
      </c>
      <c r="U33" s="121" t="str">
        <f ca="1">IF(MAX($G34:$AT34)=0,"",IF(MATCH(MAX($G34:$AT34),$G34:$AT34,0)&lt;COUNTA($G$12:U$12),"",MAX($G34:U34)-MAX($G34:T34)))</f>
        <v/>
      </c>
      <c r="V33" s="121" t="str">
        <f ca="1">IF(MAX($G34:$AT34)=0,"",IF(MATCH(MAX($G34:$AT34),$G34:$AT34,0)&lt;COUNTA($G$12:V$12),"",MAX($G34:V34)-MAX($G34:U34)))</f>
        <v/>
      </c>
      <c r="W33" s="121" t="str">
        <f ca="1">IF(MAX($G34:$AT34)=0,"",IF(MATCH(MAX($G34:$AT34),$G34:$AT34,0)&lt;COUNTA($G$12:W$12),"",MAX($G34:W34)-MAX($G34:V34)))</f>
        <v/>
      </c>
      <c r="X33" s="121" t="str">
        <f ca="1">IF(MAX($G34:$AT34)=0,"",IF(MATCH(MAX($G34:$AT34),$G34:$AT34,0)&lt;COUNTA($G$12:X$12),"",MAX($G34:X34)-MAX($G34:W34)))</f>
        <v/>
      </c>
      <c r="Y33" s="121" t="str">
        <f ca="1">IF(MAX($G34:$AT34)=0,"",IF(MATCH(MAX($G34:$AT34),$G34:$AT34,0)&lt;COUNTA($G$12:Y$12),"",MAX($G34:Y34)-MAX($G34:X34)))</f>
        <v/>
      </c>
      <c r="Z33" s="121" t="str">
        <f ca="1">IF(MAX($G34:$AT34)=0,"",IF(MATCH(MAX($G34:$AT34),$G34:$AT34,0)&lt;COUNTA($G$12:Z$12),"",MAX($G34:Z34)-MAX($G34:Y34)))</f>
        <v/>
      </c>
      <c r="AA33" s="121" t="str">
        <f ca="1">IF(MAX($G34:$AT34)=0,"",IF(MATCH(MAX($G34:$AT34),$G34:$AT34,0)&lt;COUNTA($G$12:AA$12),"",MAX($G34:AA34)-MAX($G34:Z34)))</f>
        <v/>
      </c>
      <c r="AB33" s="121" t="str">
        <f ca="1">IF(MAX($G34:$AT34)=0,"",IF(MATCH(MAX($G34:$AT34),$G34:$AT34,0)&lt;COUNTA($G$12:AB$12),"",MAX($G34:AB34)-MAX($G34:AA34)))</f>
        <v/>
      </c>
      <c r="AC33" s="121" t="str">
        <f ca="1">IF(MAX($G34:$AT34)=0,"",IF(MATCH(MAX($G34:$AT34),$G34:$AT34,0)&lt;COUNTA($G$12:AC$12),"",MAX($G34:AC34)-MAX($G34:AB34)))</f>
        <v/>
      </c>
      <c r="AD33" s="121" t="str">
        <f ca="1">IF(MAX($G34:$AT34)=0,"",IF(MATCH(MAX($G34:$AT34),$G34:$AT34,0)&lt;COUNTA($G$12:AD$12),"",MAX($G34:AD34)-MAX($G34:AC34)))</f>
        <v/>
      </c>
      <c r="AE33" s="121" t="str">
        <f ca="1">IF(MAX($G34:$AT34)=0,"",IF(MATCH(MAX($G34:$AT34),$G34:$AT34,0)&lt;COUNTA($G$12:AE$12),"",MAX($G34:AE34)-MAX($G34:AD34)))</f>
        <v/>
      </c>
      <c r="AF33" s="121" t="str">
        <f ca="1">IF(MAX($G34:$AT34)=0,"",IF(MATCH(MAX($G34:$AT34),$G34:$AT34,0)&lt;COUNTA($G$12:AF$12),"",MAX($G34:AF34)-MAX($G34:AE34)))</f>
        <v/>
      </c>
      <c r="AG33" s="121" t="str">
        <f ca="1">IF(MAX($G34:$AT34)=0,"",IF(MATCH(MAX($G34:$AT34),$G34:$AT34,0)&lt;COUNTA($G$12:AG$12),"",MAX($G34:AG34)-MAX($G34:AF34)))</f>
        <v/>
      </c>
      <c r="AH33" s="121" t="str">
        <f ca="1">IF(MAX($G34:$AT34)=0,"",IF(MATCH(MAX($G34:$AT34),$G34:$AT34,0)&lt;COUNTA($G$12:AH$12),"",MAX($G34:AH34)-MAX($G34:AG34)))</f>
        <v/>
      </c>
      <c r="AI33" s="121" t="str">
        <f ca="1">IF(MAX($G34:$AT34)=0,"",IF(MATCH(MAX($G34:$AT34),$G34:$AT34,0)&lt;COUNTA($G$12:AI$12),"",MAX($G34:AI34)-MAX($G34:AH34)))</f>
        <v/>
      </c>
      <c r="AJ33" s="121" t="str">
        <f ca="1">IF(MAX($G34:$AT34)=0,"",IF(MATCH(MAX($G34:$AT34),$G34:$AT34,0)&lt;COUNTA($G$12:AJ$12),"",MAX($G34:AJ34)-MAX($G34:AI34)))</f>
        <v/>
      </c>
      <c r="AK33" s="121" t="str">
        <f ca="1">IF(MAX($G34:$AT34)=0,"",IF(MATCH(MAX($G34:$AT34),$G34:$AT34,0)&lt;COUNTA($G$12:AK$12),"",MAX($G34:AK34)-MAX($G34:AJ34)))</f>
        <v/>
      </c>
      <c r="AL33" s="121" t="str">
        <f ca="1">IF(MAX($G34:$AT34)=0,"",IF(MATCH(MAX($G34:$AT34),$G34:$AT34,0)&lt;COUNTA($G$12:AL$12),"",MAX($G34:AL34)-MAX($G34:AK34)))</f>
        <v/>
      </c>
      <c r="AM33" s="121" t="str">
        <f ca="1">IF(MAX($G34:$AT34)=0,"",IF(MATCH(MAX($G34:$AT34),$G34:$AT34,0)&lt;COUNTA($G$12:AM$12),"",MAX($G34:AM34)-MAX($G34:AL34)))</f>
        <v/>
      </c>
      <c r="AN33" s="121" t="str">
        <f ca="1">IF(MAX($G34:$AT34)=0,"",IF(MATCH(MAX($G34:$AT34),$G34:$AT34,0)&lt;COUNTA($G$12:AN$12),"",MAX($G34:AN34)-MAX($G34:AM34)))</f>
        <v/>
      </c>
      <c r="AO33" s="121" t="str">
        <f ca="1">IF(MAX($G34:$AT34)=0,"",IF(MATCH(MAX($G34:$AT34),$G34:$AT34,0)&lt;COUNTA($G$12:AO$12),"",MAX($G34:AO34)-MAX($G34:AN34)))</f>
        <v/>
      </c>
      <c r="AP33" s="121" t="str">
        <f ca="1">IF(MAX($G34:$AT34)=0,"",IF(MATCH(MAX($G34:$AT34),$G34:$AT34,0)&lt;COUNTA($G$12:AP$12),"",MAX($G34:AP34)-MAX($G34:AO34)))</f>
        <v/>
      </c>
      <c r="AQ33" s="121" t="str">
        <f ca="1">IF(MAX($G34:$AT34)=0,"",IF(MATCH(MAX($G34:$AT34),$G34:$AT34,0)&lt;COUNTA($G$12:AQ$12),"",MAX($G34:AQ34)-MAX($G34:AP34)))</f>
        <v/>
      </c>
      <c r="AR33" s="121" t="str">
        <f ca="1">IF(MAX($G34:$AT34)=0,"",IF(MATCH(MAX($G34:$AT34),$G34:$AT34,0)&lt;COUNTA($G$12:AR$12),"",MAX($G34:AR34)-MAX($G34:AQ34)))</f>
        <v/>
      </c>
      <c r="AS33" s="121" t="str">
        <f ca="1">IF(MAX($G34:$AT34)=0,"",IF(MATCH(MAX($G34:$AT34),$G34:$AT34,0)&lt;COUNTA($G$12:AS$12),"",MAX($G34:AS34)-MAX($G34:AR34)))</f>
        <v/>
      </c>
      <c r="AT33" s="122" t="str">
        <f ca="1">IF(MAX($G34:$AT34)=0,"",IF(MATCH(MAX($G34:$AT34),$G34:$AT34,0)&lt;COUNTA($G$12:AT$12),"",MAX($G34:AT34)-MAX($G34:AS34)))</f>
        <v/>
      </c>
      <c r="AY33" s="68"/>
    </row>
    <row r="34" spans="1:54" s="67" customFormat="1" ht="12.75" customHeight="1" x14ac:dyDescent="0.2">
      <c r="A34" s="108"/>
      <c r="B34" s="108"/>
      <c r="C34" s="361"/>
      <c r="D34" s="359"/>
      <c r="E34" s="367"/>
      <c r="F34" s="111" t="s">
        <v>9</v>
      </c>
      <c r="G34" s="112">
        <f ca="1">IF(ISNUMBER(VALUE($C33)),SUMPRODUCT(OFFSET(G34,2,0,COUNTIF($C$13:$C$42,$C33&amp;".*")*2-1),OFFSET($E33,2,0,COUNTIF($C$13:$C$42,$C33&amp;".*")*2-1))/$E33,0)</f>
        <v>0</v>
      </c>
      <c r="H34" s="112">
        <f t="shared" ref="H34:AT34" ca="1" si="11">IF(ISNUMBER(VALUE($C33)),SUMPRODUCT(OFFSET(H34,2,0,COUNTIF($C$13:$C$42,$C33&amp;".*")*2-1),OFFSET($E33,2,0,COUNTIF($C$13:$C$42,$C33&amp;".*")*2-1))/$E33,G34)</f>
        <v>0</v>
      </c>
      <c r="I34" s="112">
        <f t="shared" ca="1" si="11"/>
        <v>0</v>
      </c>
      <c r="J34" s="112">
        <f t="shared" ca="1" si="11"/>
        <v>0</v>
      </c>
      <c r="K34" s="112">
        <f t="shared" ca="1" si="11"/>
        <v>0</v>
      </c>
      <c r="L34" s="112">
        <f t="shared" ca="1" si="11"/>
        <v>0</v>
      </c>
      <c r="M34" s="112">
        <f t="shared" ca="1" si="11"/>
        <v>0</v>
      </c>
      <c r="N34" s="112">
        <f t="shared" ca="1" si="11"/>
        <v>0</v>
      </c>
      <c r="O34" s="112">
        <f t="shared" ca="1" si="11"/>
        <v>0</v>
      </c>
      <c r="P34" s="112">
        <f t="shared" ca="1" si="11"/>
        <v>0</v>
      </c>
      <c r="Q34" s="112">
        <f t="shared" ca="1" si="11"/>
        <v>0</v>
      </c>
      <c r="R34" s="112">
        <f t="shared" ca="1" si="11"/>
        <v>0</v>
      </c>
      <c r="S34" s="112">
        <f t="shared" ca="1" si="11"/>
        <v>0</v>
      </c>
      <c r="T34" s="112">
        <f t="shared" ca="1" si="11"/>
        <v>0</v>
      </c>
      <c r="U34" s="112">
        <f t="shared" ca="1" si="11"/>
        <v>0</v>
      </c>
      <c r="V34" s="112">
        <f t="shared" ca="1" si="11"/>
        <v>0</v>
      </c>
      <c r="W34" s="112">
        <f t="shared" ca="1" si="11"/>
        <v>0</v>
      </c>
      <c r="X34" s="112">
        <f t="shared" ca="1" si="11"/>
        <v>0</v>
      </c>
      <c r="Y34" s="112">
        <f t="shared" ca="1" si="11"/>
        <v>0</v>
      </c>
      <c r="Z34" s="112">
        <f t="shared" ca="1" si="11"/>
        <v>0</v>
      </c>
      <c r="AA34" s="112">
        <f t="shared" ca="1" si="11"/>
        <v>0</v>
      </c>
      <c r="AB34" s="112">
        <f t="shared" ca="1" si="11"/>
        <v>0</v>
      </c>
      <c r="AC34" s="112">
        <f t="shared" ca="1" si="11"/>
        <v>0</v>
      </c>
      <c r="AD34" s="112">
        <f t="shared" ca="1" si="11"/>
        <v>0</v>
      </c>
      <c r="AE34" s="112">
        <f t="shared" ca="1" si="11"/>
        <v>0</v>
      </c>
      <c r="AF34" s="112">
        <f t="shared" ca="1" si="11"/>
        <v>0</v>
      </c>
      <c r="AG34" s="112">
        <f t="shared" ca="1" si="11"/>
        <v>0</v>
      </c>
      <c r="AH34" s="112">
        <f t="shared" ca="1" si="11"/>
        <v>0</v>
      </c>
      <c r="AI34" s="112">
        <f t="shared" ca="1" si="11"/>
        <v>0</v>
      </c>
      <c r="AJ34" s="112">
        <f t="shared" ca="1" si="11"/>
        <v>0</v>
      </c>
      <c r="AK34" s="112">
        <f t="shared" ca="1" si="11"/>
        <v>0</v>
      </c>
      <c r="AL34" s="112">
        <f t="shared" ca="1" si="11"/>
        <v>0</v>
      </c>
      <c r="AM34" s="112">
        <f t="shared" ca="1" si="11"/>
        <v>0</v>
      </c>
      <c r="AN34" s="112">
        <f t="shared" ca="1" si="11"/>
        <v>0</v>
      </c>
      <c r="AO34" s="112">
        <f t="shared" ca="1" si="11"/>
        <v>0</v>
      </c>
      <c r="AP34" s="112">
        <f t="shared" ca="1" si="11"/>
        <v>0</v>
      </c>
      <c r="AQ34" s="112">
        <f t="shared" ca="1" si="11"/>
        <v>0</v>
      </c>
      <c r="AR34" s="112">
        <f t="shared" ca="1" si="11"/>
        <v>0</v>
      </c>
      <c r="AS34" s="112">
        <f t="shared" ca="1" si="11"/>
        <v>0</v>
      </c>
      <c r="AT34" s="113">
        <f t="shared" ca="1" si="11"/>
        <v>0</v>
      </c>
      <c r="AY34" s="68"/>
    </row>
    <row r="35" spans="1:54" s="67" customFormat="1" ht="12.75" customHeight="1" x14ac:dyDescent="0.2">
      <c r="A35" s="108">
        <f ca="1">OFFSET(A35,-2,0)+1</f>
        <v>12</v>
      </c>
      <c r="B35" s="108" t="e">
        <f ca="1">MATCH(A35,OFFSET(PO!$W$15,0,0,PO!$J$15),0)-1</f>
        <v>#N/A</v>
      </c>
      <c r="C35" s="360" t="str">
        <f ca="1">IF(ISERROR($B35),"",OFFSET(PO!$L$15,$B35,0))</f>
        <v/>
      </c>
      <c r="D35" s="358" t="str">
        <f ca="1">IF(ISERROR($B35),"",OFFSET(PO!$L$15,$B35,3))</f>
        <v/>
      </c>
      <c r="E35" s="372">
        <f ca="1">IF(ISERROR($B35),0,OFFSET(PO!$L$15,$B35,9))</f>
        <v>0</v>
      </c>
      <c r="F35" s="114" t="s">
        <v>7</v>
      </c>
      <c r="G35" s="119">
        <f ca="1">G36</f>
        <v>0</v>
      </c>
      <c r="H35" s="119" t="str">
        <f ca="1">IF(MAX($G36:$AT36)=0,"",IF(MATCH(MAX($G36:$AT36),$G36:$AT36,0)&lt;COUNTA($G$12:H$12),"",MAX($G36:H36)-MAX($G36:G36)))</f>
        <v/>
      </c>
      <c r="I35" s="119" t="str">
        <f ca="1">IF(MAX($G36:$AT36)=0,"",IF(MATCH(MAX($G36:$AT36),$G36:$AT36,0)&lt;COUNTA($G$12:I$12),"",MAX($G36:I36)-MAX($G36:H36)))</f>
        <v/>
      </c>
      <c r="J35" s="119" t="str">
        <f ca="1">IF(MAX($G36:$AT36)=0,"",IF(MATCH(MAX($G36:$AT36),$G36:$AT36,0)&lt;COUNTA($G$12:J$12),"",MAX($G36:J36)-MAX($G36:I36)))</f>
        <v/>
      </c>
      <c r="K35" s="119" t="str">
        <f ca="1">IF(MAX($G36:$AT36)=0,"",IF(MATCH(MAX($G36:$AT36),$G36:$AT36,0)&lt;COUNTA($G$12:K$12),"",MAX($G36:K36)-MAX($G36:J36)))</f>
        <v/>
      </c>
      <c r="L35" s="119" t="str">
        <f ca="1">IF(MAX($G36:$AT36)=0,"",IF(MATCH(MAX($G36:$AT36),$G36:$AT36,0)&lt;COUNTA($G$12:L$12),"",MAX($G36:L36)-MAX($G36:K36)))</f>
        <v/>
      </c>
      <c r="M35" s="119" t="str">
        <f ca="1">IF(MAX($G36:$AT36)=0,"",IF(MATCH(MAX($G36:$AT36),$G36:$AT36,0)&lt;COUNTA($G$12:M$12),"",MAX($G36:M36)-MAX($G36:L36)))</f>
        <v/>
      </c>
      <c r="N35" s="119" t="str">
        <f ca="1">IF(MAX($G36:$AT36)=0,"",IF(MATCH(MAX($G36:$AT36),$G36:$AT36,0)&lt;COUNTA($G$12:N$12),"",MAX($G36:N36)-MAX($G36:M36)))</f>
        <v/>
      </c>
      <c r="O35" s="119" t="str">
        <f ca="1">IF(MAX($G36:$AT36)=0,"",IF(MATCH(MAX($G36:$AT36),$G36:$AT36,0)&lt;COUNTA($G$12:O$12),"",MAX($G36:O36)-MAX($G36:N36)))</f>
        <v/>
      </c>
      <c r="P35" s="119" t="str">
        <f ca="1">IF(MAX($G36:$AT36)=0,"",IF(MATCH(MAX($G36:$AT36),$G36:$AT36,0)&lt;COUNTA($G$12:P$12),"",MAX($G36:P36)-MAX($G36:O36)))</f>
        <v/>
      </c>
      <c r="Q35" s="119" t="str">
        <f ca="1">IF(MAX($G36:$AT36)=0,"",IF(MATCH(MAX($G36:$AT36),$G36:$AT36,0)&lt;COUNTA($G$12:Q$12),"",MAX($G36:Q36)-MAX($G36:P36)))</f>
        <v/>
      </c>
      <c r="R35" s="119" t="str">
        <f ca="1">IF(MAX($G36:$AT36)=0,"",IF(MATCH(MAX($G36:$AT36),$G36:$AT36,0)&lt;COUNTA($G$12:R$12),"",MAX($G36:R36)-MAX($G36:Q36)))</f>
        <v/>
      </c>
      <c r="S35" s="119" t="str">
        <f ca="1">IF(MAX($G36:$AT36)=0,"",IF(MATCH(MAX($G36:$AT36),$G36:$AT36,0)&lt;COUNTA($G$12:S$12),"",MAX($G36:S36)-MAX($G36:R36)))</f>
        <v/>
      </c>
      <c r="T35" s="119" t="str">
        <f ca="1">IF(MAX($G36:$AT36)=0,"",IF(MATCH(MAX($G36:$AT36),$G36:$AT36,0)&lt;COUNTA($G$12:T$12),"",MAX($G36:T36)-MAX($G36:S36)))</f>
        <v/>
      </c>
      <c r="U35" s="119" t="str">
        <f ca="1">IF(MAX($G36:$AT36)=0,"",IF(MATCH(MAX($G36:$AT36),$G36:$AT36,0)&lt;COUNTA($G$12:U$12),"",MAX($G36:U36)-MAX($G36:T36)))</f>
        <v/>
      </c>
      <c r="V35" s="119" t="str">
        <f ca="1">IF(MAX($G36:$AT36)=0,"",IF(MATCH(MAX($G36:$AT36),$G36:$AT36,0)&lt;COUNTA($G$12:V$12),"",MAX($G36:V36)-MAX($G36:U36)))</f>
        <v/>
      </c>
      <c r="W35" s="119" t="str">
        <f ca="1">IF(MAX($G36:$AT36)=0,"",IF(MATCH(MAX($G36:$AT36),$G36:$AT36,0)&lt;COUNTA($G$12:W$12),"",MAX($G36:W36)-MAX($G36:V36)))</f>
        <v/>
      </c>
      <c r="X35" s="119" t="str">
        <f ca="1">IF(MAX($G36:$AT36)=0,"",IF(MATCH(MAX($G36:$AT36),$G36:$AT36,0)&lt;COUNTA($G$12:X$12),"",MAX($G36:X36)-MAX($G36:W36)))</f>
        <v/>
      </c>
      <c r="Y35" s="119" t="str">
        <f ca="1">IF(MAX($G36:$AT36)=0,"",IF(MATCH(MAX($G36:$AT36),$G36:$AT36,0)&lt;COUNTA($G$12:Y$12),"",MAX($G36:Y36)-MAX($G36:X36)))</f>
        <v/>
      </c>
      <c r="Z35" s="119" t="str">
        <f ca="1">IF(MAX($G36:$AT36)=0,"",IF(MATCH(MAX($G36:$AT36),$G36:$AT36,0)&lt;COUNTA($G$12:Z$12),"",MAX($G36:Z36)-MAX($G36:Y36)))</f>
        <v/>
      </c>
      <c r="AA35" s="119" t="str">
        <f ca="1">IF(MAX($G36:$AT36)=0,"",IF(MATCH(MAX($G36:$AT36),$G36:$AT36,0)&lt;COUNTA($G$12:AA$12),"",MAX($G36:AA36)-MAX($G36:Z36)))</f>
        <v/>
      </c>
      <c r="AB35" s="119" t="str">
        <f ca="1">IF(MAX($G36:$AT36)=0,"",IF(MATCH(MAX($G36:$AT36),$G36:$AT36,0)&lt;COUNTA($G$12:AB$12),"",MAX($G36:AB36)-MAX($G36:AA36)))</f>
        <v/>
      </c>
      <c r="AC35" s="119" t="str">
        <f ca="1">IF(MAX($G36:$AT36)=0,"",IF(MATCH(MAX($G36:$AT36),$G36:$AT36,0)&lt;COUNTA($G$12:AC$12),"",MAX($G36:AC36)-MAX($G36:AB36)))</f>
        <v/>
      </c>
      <c r="AD35" s="119" t="str">
        <f ca="1">IF(MAX($G36:$AT36)=0,"",IF(MATCH(MAX($G36:$AT36),$G36:$AT36,0)&lt;COUNTA($G$12:AD$12),"",MAX($G36:AD36)-MAX($G36:AC36)))</f>
        <v/>
      </c>
      <c r="AE35" s="119" t="str">
        <f ca="1">IF(MAX($G36:$AT36)=0,"",IF(MATCH(MAX($G36:$AT36),$G36:$AT36,0)&lt;COUNTA($G$12:AE$12),"",MAX($G36:AE36)-MAX($G36:AD36)))</f>
        <v/>
      </c>
      <c r="AF35" s="119" t="str">
        <f ca="1">IF(MAX($G36:$AT36)=0,"",IF(MATCH(MAX($G36:$AT36),$G36:$AT36,0)&lt;COUNTA($G$12:AF$12),"",MAX($G36:AF36)-MAX($G36:AE36)))</f>
        <v/>
      </c>
      <c r="AG35" s="119" t="str">
        <f ca="1">IF(MAX($G36:$AT36)=0,"",IF(MATCH(MAX($G36:$AT36),$G36:$AT36,0)&lt;COUNTA($G$12:AG$12),"",MAX($G36:AG36)-MAX($G36:AF36)))</f>
        <v/>
      </c>
      <c r="AH35" s="119" t="str">
        <f ca="1">IF(MAX($G36:$AT36)=0,"",IF(MATCH(MAX($G36:$AT36),$G36:$AT36,0)&lt;COUNTA($G$12:AH$12),"",MAX($G36:AH36)-MAX($G36:AG36)))</f>
        <v/>
      </c>
      <c r="AI35" s="119" t="str">
        <f ca="1">IF(MAX($G36:$AT36)=0,"",IF(MATCH(MAX($G36:$AT36),$G36:$AT36,0)&lt;COUNTA($G$12:AI$12),"",MAX($G36:AI36)-MAX($G36:AH36)))</f>
        <v/>
      </c>
      <c r="AJ35" s="119" t="str">
        <f ca="1">IF(MAX($G36:$AT36)=0,"",IF(MATCH(MAX($G36:$AT36),$G36:$AT36,0)&lt;COUNTA($G$12:AJ$12),"",MAX($G36:AJ36)-MAX($G36:AI36)))</f>
        <v/>
      </c>
      <c r="AK35" s="119" t="str">
        <f ca="1">IF(MAX($G36:$AT36)=0,"",IF(MATCH(MAX($G36:$AT36),$G36:$AT36,0)&lt;COUNTA($G$12:AK$12),"",MAX($G36:AK36)-MAX($G36:AJ36)))</f>
        <v/>
      </c>
      <c r="AL35" s="119" t="str">
        <f ca="1">IF(MAX($G36:$AT36)=0,"",IF(MATCH(MAX($G36:$AT36),$G36:$AT36,0)&lt;COUNTA($G$12:AL$12),"",MAX($G36:AL36)-MAX($G36:AK36)))</f>
        <v/>
      </c>
      <c r="AM35" s="119" t="str">
        <f ca="1">IF(MAX($G36:$AT36)=0,"",IF(MATCH(MAX($G36:$AT36),$G36:$AT36,0)&lt;COUNTA($G$12:AM$12),"",MAX($G36:AM36)-MAX($G36:AL36)))</f>
        <v/>
      </c>
      <c r="AN35" s="119" t="str">
        <f ca="1">IF(MAX($G36:$AT36)=0,"",IF(MATCH(MAX($G36:$AT36),$G36:$AT36,0)&lt;COUNTA($G$12:AN$12),"",MAX($G36:AN36)-MAX($G36:AM36)))</f>
        <v/>
      </c>
      <c r="AO35" s="119" t="str">
        <f ca="1">IF(MAX($G36:$AT36)=0,"",IF(MATCH(MAX($G36:$AT36),$G36:$AT36,0)&lt;COUNTA($G$12:AO$12),"",MAX($G36:AO36)-MAX($G36:AN36)))</f>
        <v/>
      </c>
      <c r="AP35" s="119" t="str">
        <f ca="1">IF(MAX($G36:$AT36)=0,"",IF(MATCH(MAX($G36:$AT36),$G36:$AT36,0)&lt;COUNTA($G$12:AP$12),"",MAX($G36:AP36)-MAX($G36:AO36)))</f>
        <v/>
      </c>
      <c r="AQ35" s="119" t="str">
        <f ca="1">IF(MAX($G36:$AT36)=0,"",IF(MATCH(MAX($G36:$AT36),$G36:$AT36,0)&lt;COUNTA($G$12:AQ$12),"",MAX($G36:AQ36)-MAX($G36:AP36)))</f>
        <v/>
      </c>
      <c r="AR35" s="119" t="str">
        <f ca="1">IF(MAX($G36:$AT36)=0,"",IF(MATCH(MAX($G36:$AT36),$G36:$AT36,0)&lt;COUNTA($G$12:AR$12),"",MAX($G36:AR36)-MAX($G36:AQ36)))</f>
        <v/>
      </c>
      <c r="AS35" s="119" t="str">
        <f ca="1">IF(MAX($G36:$AT36)=0,"",IF(MATCH(MAX($G36:$AT36),$G36:$AT36,0)&lt;COUNTA($G$12:AS$12),"",MAX($G36:AS36)-MAX($G36:AR36)))</f>
        <v/>
      </c>
      <c r="AT35" s="120" t="str">
        <f ca="1">IF(MAX($G36:$AT36)=0,"",IF(MATCH(MAX($G36:$AT36),$G36:$AT36,0)&lt;COUNTA($G$12:AT$12),"",MAX($G36:AT36)-MAX($G36:AS36)))</f>
        <v/>
      </c>
      <c r="AY35" s="68"/>
    </row>
    <row r="36" spans="1:54" s="67" customFormat="1" ht="12.75" customHeight="1" x14ac:dyDescent="0.2">
      <c r="A36" s="108"/>
      <c r="B36" s="108"/>
      <c r="C36" s="361"/>
      <c r="D36" s="359"/>
      <c r="E36" s="367"/>
      <c r="F36" s="111" t="s">
        <v>9</v>
      </c>
      <c r="G36" s="112">
        <f ca="1">IF(ISNUMBER(VALUE($C35)),SUMPRODUCT(OFFSET(G36,2,0,COUNTIF($C$13:$C$42,$C35&amp;".*")*2-1),OFFSET($E35,2,0,COUNTIF($C$13:$C$42,$C35&amp;".*")*2-1))/$E35,0)</f>
        <v>0</v>
      </c>
      <c r="H36" s="112">
        <f t="shared" ref="H36:AT36" ca="1" si="12">IF(ISNUMBER(VALUE($C35)),SUMPRODUCT(OFFSET(H36,2,0,COUNTIF($C$13:$C$42,$C35&amp;".*")*2-1),OFFSET($E35,2,0,COUNTIF($C$13:$C$42,$C35&amp;".*")*2-1))/$E35,G36)</f>
        <v>0</v>
      </c>
      <c r="I36" s="112">
        <f t="shared" ca="1" si="12"/>
        <v>0</v>
      </c>
      <c r="J36" s="112">
        <f t="shared" ca="1" si="12"/>
        <v>0</v>
      </c>
      <c r="K36" s="112">
        <f t="shared" ca="1" si="12"/>
        <v>0</v>
      </c>
      <c r="L36" s="112">
        <f t="shared" ca="1" si="12"/>
        <v>0</v>
      </c>
      <c r="M36" s="112">
        <f t="shared" ca="1" si="12"/>
        <v>0</v>
      </c>
      <c r="N36" s="112">
        <f t="shared" ca="1" si="12"/>
        <v>0</v>
      </c>
      <c r="O36" s="112">
        <f t="shared" ca="1" si="12"/>
        <v>0</v>
      </c>
      <c r="P36" s="112">
        <f t="shared" ca="1" si="12"/>
        <v>0</v>
      </c>
      <c r="Q36" s="112">
        <f t="shared" ca="1" si="12"/>
        <v>0</v>
      </c>
      <c r="R36" s="112">
        <f t="shared" ca="1" si="12"/>
        <v>0</v>
      </c>
      <c r="S36" s="112">
        <f t="shared" ca="1" si="12"/>
        <v>0</v>
      </c>
      <c r="T36" s="112">
        <f t="shared" ca="1" si="12"/>
        <v>0</v>
      </c>
      <c r="U36" s="112">
        <f t="shared" ca="1" si="12"/>
        <v>0</v>
      </c>
      <c r="V36" s="112">
        <f t="shared" ca="1" si="12"/>
        <v>0</v>
      </c>
      <c r="W36" s="112">
        <f t="shared" ca="1" si="12"/>
        <v>0</v>
      </c>
      <c r="X36" s="112">
        <f t="shared" ca="1" si="12"/>
        <v>0</v>
      </c>
      <c r="Y36" s="112">
        <f t="shared" ca="1" si="12"/>
        <v>0</v>
      </c>
      <c r="Z36" s="112">
        <f t="shared" ca="1" si="12"/>
        <v>0</v>
      </c>
      <c r="AA36" s="112">
        <f t="shared" ca="1" si="12"/>
        <v>0</v>
      </c>
      <c r="AB36" s="112">
        <f t="shared" ca="1" si="12"/>
        <v>0</v>
      </c>
      <c r="AC36" s="112">
        <f t="shared" ca="1" si="12"/>
        <v>0</v>
      </c>
      <c r="AD36" s="112">
        <f t="shared" ca="1" si="12"/>
        <v>0</v>
      </c>
      <c r="AE36" s="112">
        <f t="shared" ca="1" si="12"/>
        <v>0</v>
      </c>
      <c r="AF36" s="112">
        <f t="shared" ca="1" si="12"/>
        <v>0</v>
      </c>
      <c r="AG36" s="112">
        <f t="shared" ca="1" si="12"/>
        <v>0</v>
      </c>
      <c r="AH36" s="112">
        <f t="shared" ca="1" si="12"/>
        <v>0</v>
      </c>
      <c r="AI36" s="112">
        <f t="shared" ca="1" si="12"/>
        <v>0</v>
      </c>
      <c r="AJ36" s="112">
        <f t="shared" ca="1" si="12"/>
        <v>0</v>
      </c>
      <c r="AK36" s="112">
        <f t="shared" ca="1" si="12"/>
        <v>0</v>
      </c>
      <c r="AL36" s="112">
        <f t="shared" ca="1" si="12"/>
        <v>0</v>
      </c>
      <c r="AM36" s="112">
        <f t="shared" ca="1" si="12"/>
        <v>0</v>
      </c>
      <c r="AN36" s="112">
        <f t="shared" ca="1" si="12"/>
        <v>0</v>
      </c>
      <c r="AO36" s="112">
        <f t="shared" ca="1" si="12"/>
        <v>0</v>
      </c>
      <c r="AP36" s="112">
        <f t="shared" ca="1" si="12"/>
        <v>0</v>
      </c>
      <c r="AQ36" s="112">
        <f t="shared" ca="1" si="12"/>
        <v>0</v>
      </c>
      <c r="AR36" s="112">
        <f t="shared" ca="1" si="12"/>
        <v>0</v>
      </c>
      <c r="AS36" s="112">
        <f t="shared" ca="1" si="12"/>
        <v>0</v>
      </c>
      <c r="AT36" s="113">
        <f t="shared" ca="1" si="12"/>
        <v>0</v>
      </c>
      <c r="AY36" s="68"/>
    </row>
    <row r="37" spans="1:54" s="67" customFormat="1" ht="12.75" customHeight="1" x14ac:dyDescent="0.2">
      <c r="A37" s="108">
        <f ca="1">OFFSET(A37,-2,0)+1</f>
        <v>13</v>
      </c>
      <c r="B37" s="108" t="e">
        <f ca="1">MATCH(A37,OFFSET(PO!$W$15,0,0,PO!$J$15),0)-1</f>
        <v>#N/A</v>
      </c>
      <c r="C37" s="365" t="str">
        <f ca="1">IF(ISERROR($B37),"",OFFSET(PO!$L$15,$B37,0))</f>
        <v/>
      </c>
      <c r="D37" s="371" t="str">
        <f ca="1">IF(ISERROR($B37),"",OFFSET(PO!$L$15,$B37,3))</f>
        <v/>
      </c>
      <c r="E37" s="366">
        <f ca="1">IF(ISERROR($B37),0,OFFSET(PO!$L$15,$B37,9))</f>
        <v>0</v>
      </c>
      <c r="F37" s="109" t="s">
        <v>7</v>
      </c>
      <c r="G37" s="121">
        <f ca="1">G38</f>
        <v>0</v>
      </c>
      <c r="H37" s="121" t="str">
        <f ca="1">IF(MAX($G38:$AT38)=0,"",IF(MATCH(MAX($G38:$AT38),$G38:$AT38,0)&lt;COUNTA($G$12:H$12),"",MAX($G38:H38)-MAX($G38:G38)))</f>
        <v/>
      </c>
      <c r="I37" s="121" t="str">
        <f ca="1">IF(MAX($G38:$AT38)=0,"",IF(MATCH(MAX($G38:$AT38),$G38:$AT38,0)&lt;COUNTA($G$12:I$12),"",MAX($G38:I38)-MAX($G38:H38)))</f>
        <v/>
      </c>
      <c r="J37" s="121" t="str">
        <f ca="1">IF(MAX($G38:$AT38)=0,"",IF(MATCH(MAX($G38:$AT38),$G38:$AT38,0)&lt;COUNTA($G$12:J$12),"",MAX($G38:J38)-MAX($G38:I38)))</f>
        <v/>
      </c>
      <c r="K37" s="121" t="str">
        <f ca="1">IF(MAX($G38:$AT38)=0,"",IF(MATCH(MAX($G38:$AT38),$G38:$AT38,0)&lt;COUNTA($G$12:K$12),"",MAX($G38:K38)-MAX($G38:J38)))</f>
        <v/>
      </c>
      <c r="L37" s="121" t="str">
        <f ca="1">IF(MAX($G38:$AT38)=0,"",IF(MATCH(MAX($G38:$AT38),$G38:$AT38,0)&lt;COUNTA($G$12:L$12),"",MAX($G38:L38)-MAX($G38:K38)))</f>
        <v/>
      </c>
      <c r="M37" s="121" t="str">
        <f ca="1">IF(MAX($G38:$AT38)=0,"",IF(MATCH(MAX($G38:$AT38),$G38:$AT38,0)&lt;COUNTA($G$12:M$12),"",MAX($G38:M38)-MAX($G38:L38)))</f>
        <v/>
      </c>
      <c r="N37" s="121" t="str">
        <f ca="1">IF(MAX($G38:$AT38)=0,"",IF(MATCH(MAX($G38:$AT38),$G38:$AT38,0)&lt;COUNTA($G$12:N$12),"",MAX($G38:N38)-MAX($G38:M38)))</f>
        <v/>
      </c>
      <c r="O37" s="121" t="str">
        <f ca="1">IF(MAX($G38:$AT38)=0,"",IF(MATCH(MAX($G38:$AT38),$G38:$AT38,0)&lt;COUNTA($G$12:O$12),"",MAX($G38:O38)-MAX($G38:N38)))</f>
        <v/>
      </c>
      <c r="P37" s="121" t="str">
        <f ca="1">IF(MAX($G38:$AT38)=0,"",IF(MATCH(MAX($G38:$AT38),$G38:$AT38,0)&lt;COUNTA($G$12:P$12),"",MAX($G38:P38)-MAX($G38:O38)))</f>
        <v/>
      </c>
      <c r="Q37" s="121" t="str">
        <f ca="1">IF(MAX($G38:$AT38)=0,"",IF(MATCH(MAX($G38:$AT38),$G38:$AT38,0)&lt;COUNTA($G$12:Q$12),"",MAX($G38:Q38)-MAX($G38:P38)))</f>
        <v/>
      </c>
      <c r="R37" s="121" t="str">
        <f ca="1">IF(MAX($G38:$AT38)=0,"",IF(MATCH(MAX($G38:$AT38),$G38:$AT38,0)&lt;COUNTA($G$12:R$12),"",MAX($G38:R38)-MAX($G38:Q38)))</f>
        <v/>
      </c>
      <c r="S37" s="121" t="str">
        <f ca="1">IF(MAX($G38:$AT38)=0,"",IF(MATCH(MAX($G38:$AT38),$G38:$AT38,0)&lt;COUNTA($G$12:S$12),"",MAX($G38:S38)-MAX($G38:R38)))</f>
        <v/>
      </c>
      <c r="T37" s="121" t="str">
        <f ca="1">IF(MAX($G38:$AT38)=0,"",IF(MATCH(MAX($G38:$AT38),$G38:$AT38,0)&lt;COUNTA($G$12:T$12),"",MAX($G38:T38)-MAX($G38:S38)))</f>
        <v/>
      </c>
      <c r="U37" s="121" t="str">
        <f ca="1">IF(MAX($G38:$AT38)=0,"",IF(MATCH(MAX($G38:$AT38),$G38:$AT38,0)&lt;COUNTA($G$12:U$12),"",MAX($G38:U38)-MAX($G38:T38)))</f>
        <v/>
      </c>
      <c r="V37" s="121" t="str">
        <f ca="1">IF(MAX($G38:$AT38)=0,"",IF(MATCH(MAX($G38:$AT38),$G38:$AT38,0)&lt;COUNTA($G$12:V$12),"",MAX($G38:V38)-MAX($G38:U38)))</f>
        <v/>
      </c>
      <c r="W37" s="121" t="str">
        <f ca="1">IF(MAX($G38:$AT38)=0,"",IF(MATCH(MAX($G38:$AT38),$G38:$AT38,0)&lt;COUNTA($G$12:W$12),"",MAX($G38:W38)-MAX($G38:V38)))</f>
        <v/>
      </c>
      <c r="X37" s="121" t="str">
        <f ca="1">IF(MAX($G38:$AT38)=0,"",IF(MATCH(MAX($G38:$AT38),$G38:$AT38,0)&lt;COUNTA($G$12:X$12),"",MAX($G38:X38)-MAX($G38:W38)))</f>
        <v/>
      </c>
      <c r="Y37" s="121" t="str">
        <f ca="1">IF(MAX($G38:$AT38)=0,"",IF(MATCH(MAX($G38:$AT38),$G38:$AT38,0)&lt;COUNTA($G$12:Y$12),"",MAX($G38:Y38)-MAX($G38:X38)))</f>
        <v/>
      </c>
      <c r="Z37" s="121" t="str">
        <f ca="1">IF(MAX($G38:$AT38)=0,"",IF(MATCH(MAX($G38:$AT38),$G38:$AT38,0)&lt;COUNTA($G$12:Z$12),"",MAX($G38:Z38)-MAX($G38:Y38)))</f>
        <v/>
      </c>
      <c r="AA37" s="121" t="str">
        <f ca="1">IF(MAX($G38:$AT38)=0,"",IF(MATCH(MAX($G38:$AT38),$G38:$AT38,0)&lt;COUNTA($G$12:AA$12),"",MAX($G38:AA38)-MAX($G38:Z38)))</f>
        <v/>
      </c>
      <c r="AB37" s="121" t="str">
        <f ca="1">IF(MAX($G38:$AT38)=0,"",IF(MATCH(MAX($G38:$AT38),$G38:$AT38,0)&lt;COUNTA($G$12:AB$12),"",MAX($G38:AB38)-MAX($G38:AA38)))</f>
        <v/>
      </c>
      <c r="AC37" s="121" t="str">
        <f ca="1">IF(MAX($G38:$AT38)=0,"",IF(MATCH(MAX($G38:$AT38),$G38:$AT38,0)&lt;COUNTA($G$12:AC$12),"",MAX($G38:AC38)-MAX($G38:AB38)))</f>
        <v/>
      </c>
      <c r="AD37" s="121" t="str">
        <f ca="1">IF(MAX($G38:$AT38)=0,"",IF(MATCH(MAX($G38:$AT38),$G38:$AT38,0)&lt;COUNTA($G$12:AD$12),"",MAX($G38:AD38)-MAX($G38:AC38)))</f>
        <v/>
      </c>
      <c r="AE37" s="121" t="str">
        <f ca="1">IF(MAX($G38:$AT38)=0,"",IF(MATCH(MAX($G38:$AT38),$G38:$AT38,0)&lt;COUNTA($G$12:AE$12),"",MAX($G38:AE38)-MAX($G38:AD38)))</f>
        <v/>
      </c>
      <c r="AF37" s="121" t="str">
        <f ca="1">IF(MAX($G38:$AT38)=0,"",IF(MATCH(MAX($G38:$AT38),$G38:$AT38,0)&lt;COUNTA($G$12:AF$12),"",MAX($G38:AF38)-MAX($G38:AE38)))</f>
        <v/>
      </c>
      <c r="AG37" s="121" t="str">
        <f ca="1">IF(MAX($G38:$AT38)=0,"",IF(MATCH(MAX($G38:$AT38),$G38:$AT38,0)&lt;COUNTA($G$12:AG$12),"",MAX($G38:AG38)-MAX($G38:AF38)))</f>
        <v/>
      </c>
      <c r="AH37" s="121" t="str">
        <f ca="1">IF(MAX($G38:$AT38)=0,"",IF(MATCH(MAX($G38:$AT38),$G38:$AT38,0)&lt;COUNTA($G$12:AH$12),"",MAX($G38:AH38)-MAX($G38:AG38)))</f>
        <v/>
      </c>
      <c r="AI37" s="121" t="str">
        <f ca="1">IF(MAX($G38:$AT38)=0,"",IF(MATCH(MAX($G38:$AT38),$G38:$AT38,0)&lt;COUNTA($G$12:AI$12),"",MAX($G38:AI38)-MAX($G38:AH38)))</f>
        <v/>
      </c>
      <c r="AJ37" s="121" t="str">
        <f ca="1">IF(MAX($G38:$AT38)=0,"",IF(MATCH(MAX($G38:$AT38),$G38:$AT38,0)&lt;COUNTA($G$12:AJ$12),"",MAX($G38:AJ38)-MAX($G38:AI38)))</f>
        <v/>
      </c>
      <c r="AK37" s="121" t="str">
        <f ca="1">IF(MAX($G38:$AT38)=0,"",IF(MATCH(MAX($G38:$AT38),$G38:$AT38,0)&lt;COUNTA($G$12:AK$12),"",MAX($G38:AK38)-MAX($G38:AJ38)))</f>
        <v/>
      </c>
      <c r="AL37" s="121" t="str">
        <f ca="1">IF(MAX($G38:$AT38)=0,"",IF(MATCH(MAX($G38:$AT38),$G38:$AT38,0)&lt;COUNTA($G$12:AL$12),"",MAX($G38:AL38)-MAX($G38:AK38)))</f>
        <v/>
      </c>
      <c r="AM37" s="121" t="str">
        <f ca="1">IF(MAX($G38:$AT38)=0,"",IF(MATCH(MAX($G38:$AT38),$G38:$AT38,0)&lt;COUNTA($G$12:AM$12),"",MAX($G38:AM38)-MAX($G38:AL38)))</f>
        <v/>
      </c>
      <c r="AN37" s="121" t="str">
        <f ca="1">IF(MAX($G38:$AT38)=0,"",IF(MATCH(MAX($G38:$AT38),$G38:$AT38,0)&lt;COUNTA($G$12:AN$12),"",MAX($G38:AN38)-MAX($G38:AM38)))</f>
        <v/>
      </c>
      <c r="AO37" s="121" t="str">
        <f ca="1">IF(MAX($G38:$AT38)=0,"",IF(MATCH(MAX($G38:$AT38),$G38:$AT38,0)&lt;COUNTA($G$12:AO$12),"",MAX($G38:AO38)-MAX($G38:AN38)))</f>
        <v/>
      </c>
      <c r="AP37" s="121" t="str">
        <f ca="1">IF(MAX($G38:$AT38)=0,"",IF(MATCH(MAX($G38:$AT38),$G38:$AT38,0)&lt;COUNTA($G$12:AP$12),"",MAX($G38:AP38)-MAX($G38:AO38)))</f>
        <v/>
      </c>
      <c r="AQ37" s="121" t="str">
        <f ca="1">IF(MAX($G38:$AT38)=0,"",IF(MATCH(MAX($G38:$AT38),$G38:$AT38,0)&lt;COUNTA($G$12:AQ$12),"",MAX($G38:AQ38)-MAX($G38:AP38)))</f>
        <v/>
      </c>
      <c r="AR37" s="121" t="str">
        <f ca="1">IF(MAX($G38:$AT38)=0,"",IF(MATCH(MAX($G38:$AT38),$G38:$AT38,0)&lt;COUNTA($G$12:AR$12),"",MAX($G38:AR38)-MAX($G38:AQ38)))</f>
        <v/>
      </c>
      <c r="AS37" s="121" t="str">
        <f ca="1">IF(MAX($G38:$AT38)=0,"",IF(MATCH(MAX($G38:$AT38),$G38:$AT38,0)&lt;COUNTA($G$12:AS$12),"",MAX($G38:AS38)-MAX($G38:AR38)))</f>
        <v/>
      </c>
      <c r="AT37" s="122" t="str">
        <f ca="1">IF(MAX($G38:$AT38)=0,"",IF(MATCH(MAX($G38:$AT38),$G38:$AT38,0)&lt;COUNTA($G$12:AT$12),"",MAX($G38:AT38)-MAX($G38:AS38)))</f>
        <v/>
      </c>
      <c r="AY37" s="68"/>
    </row>
    <row r="38" spans="1:54" s="67" customFormat="1" ht="12.75" customHeight="1" x14ac:dyDescent="0.2">
      <c r="A38" s="108"/>
      <c r="B38" s="108"/>
      <c r="C38" s="361"/>
      <c r="D38" s="359"/>
      <c r="E38" s="367"/>
      <c r="F38" s="111" t="s">
        <v>9</v>
      </c>
      <c r="G38" s="112">
        <f ca="1">IF(ISNUMBER(VALUE($C37)),SUMPRODUCT(OFFSET(G38,2,0,COUNTIF($C$13:$C$42,$C37&amp;".*")*2-1),OFFSET($E37,2,0,COUNTIF($C$13:$C$42,$C37&amp;".*")*2-1))/$E37,0)</f>
        <v>0</v>
      </c>
      <c r="H38" s="112">
        <f t="shared" ref="H38:AT38" ca="1" si="13">IF(ISNUMBER(VALUE($C37)),SUMPRODUCT(OFFSET(H38,2,0,COUNTIF($C$13:$C$42,$C37&amp;".*")*2-1),OFFSET($E37,2,0,COUNTIF($C$13:$C$42,$C37&amp;".*")*2-1))/$E37,G38)</f>
        <v>0</v>
      </c>
      <c r="I38" s="112">
        <f t="shared" ca="1" si="13"/>
        <v>0</v>
      </c>
      <c r="J38" s="112">
        <f t="shared" ca="1" si="13"/>
        <v>0</v>
      </c>
      <c r="K38" s="112">
        <f t="shared" ca="1" si="13"/>
        <v>0</v>
      </c>
      <c r="L38" s="112">
        <f t="shared" ca="1" si="13"/>
        <v>0</v>
      </c>
      <c r="M38" s="112">
        <f t="shared" ca="1" si="13"/>
        <v>0</v>
      </c>
      <c r="N38" s="112">
        <f t="shared" ca="1" si="13"/>
        <v>0</v>
      </c>
      <c r="O38" s="112">
        <f t="shared" ca="1" si="13"/>
        <v>0</v>
      </c>
      <c r="P38" s="112">
        <f t="shared" ca="1" si="13"/>
        <v>0</v>
      </c>
      <c r="Q38" s="112">
        <f t="shared" ca="1" si="13"/>
        <v>0</v>
      </c>
      <c r="R38" s="112">
        <f t="shared" ca="1" si="13"/>
        <v>0</v>
      </c>
      <c r="S38" s="112">
        <f t="shared" ca="1" si="13"/>
        <v>0</v>
      </c>
      <c r="T38" s="112">
        <f t="shared" ca="1" si="13"/>
        <v>0</v>
      </c>
      <c r="U38" s="112">
        <f t="shared" ca="1" si="13"/>
        <v>0</v>
      </c>
      <c r="V38" s="112">
        <f t="shared" ca="1" si="13"/>
        <v>0</v>
      </c>
      <c r="W38" s="112">
        <f t="shared" ca="1" si="13"/>
        <v>0</v>
      </c>
      <c r="X38" s="112">
        <f t="shared" ca="1" si="13"/>
        <v>0</v>
      </c>
      <c r="Y38" s="112">
        <f t="shared" ca="1" si="13"/>
        <v>0</v>
      </c>
      <c r="Z38" s="112">
        <f t="shared" ca="1" si="13"/>
        <v>0</v>
      </c>
      <c r="AA38" s="112">
        <f t="shared" ca="1" si="13"/>
        <v>0</v>
      </c>
      <c r="AB38" s="112">
        <f t="shared" ca="1" si="13"/>
        <v>0</v>
      </c>
      <c r="AC38" s="112">
        <f t="shared" ca="1" si="13"/>
        <v>0</v>
      </c>
      <c r="AD38" s="112">
        <f t="shared" ca="1" si="13"/>
        <v>0</v>
      </c>
      <c r="AE38" s="112">
        <f t="shared" ca="1" si="13"/>
        <v>0</v>
      </c>
      <c r="AF38" s="112">
        <f t="shared" ca="1" si="13"/>
        <v>0</v>
      </c>
      <c r="AG38" s="112">
        <f t="shared" ca="1" si="13"/>
        <v>0</v>
      </c>
      <c r="AH38" s="112">
        <f t="shared" ca="1" si="13"/>
        <v>0</v>
      </c>
      <c r="AI38" s="112">
        <f t="shared" ca="1" si="13"/>
        <v>0</v>
      </c>
      <c r="AJ38" s="112">
        <f t="shared" ca="1" si="13"/>
        <v>0</v>
      </c>
      <c r="AK38" s="112">
        <f t="shared" ca="1" si="13"/>
        <v>0</v>
      </c>
      <c r="AL38" s="112">
        <f t="shared" ca="1" si="13"/>
        <v>0</v>
      </c>
      <c r="AM38" s="112">
        <f t="shared" ca="1" si="13"/>
        <v>0</v>
      </c>
      <c r="AN38" s="112">
        <f t="shared" ca="1" si="13"/>
        <v>0</v>
      </c>
      <c r="AO38" s="112">
        <f t="shared" ca="1" si="13"/>
        <v>0</v>
      </c>
      <c r="AP38" s="112">
        <f t="shared" ca="1" si="13"/>
        <v>0</v>
      </c>
      <c r="AQ38" s="112">
        <f t="shared" ca="1" si="13"/>
        <v>0</v>
      </c>
      <c r="AR38" s="112">
        <f t="shared" ca="1" si="13"/>
        <v>0</v>
      </c>
      <c r="AS38" s="112">
        <f t="shared" ca="1" si="13"/>
        <v>0</v>
      </c>
      <c r="AT38" s="113">
        <f t="shared" ca="1" si="13"/>
        <v>0</v>
      </c>
      <c r="AY38" s="68"/>
    </row>
    <row r="39" spans="1:54" s="84" customFormat="1" ht="12.75" customHeight="1" x14ac:dyDescent="0.2">
      <c r="C39" s="381" t="s">
        <v>158</v>
      </c>
      <c r="D39" s="382"/>
      <c r="E39" s="378">
        <f ca="1">SUMIF(OFFSET($C$12,1,0,CFF.qtde.itens.atual*2),"&lt;&gt;"&amp;"*.*",OFFSET($E$12,1,0,CFF.qtde.itens.atual*2))</f>
        <v>0</v>
      </c>
      <c r="F39" s="86" t="s">
        <v>7</v>
      </c>
      <c r="G39" s="215" t="e">
        <f ca="1">G41</f>
        <v>#DIV/0!</v>
      </c>
      <c r="H39" s="215" t="e">
        <f ca="1">H41-G41</f>
        <v>#DIV/0!</v>
      </c>
      <c r="I39" s="215" t="e">
        <f t="shared" ref="I39:AP39" ca="1" si="14">I41-H41</f>
        <v>#DIV/0!</v>
      </c>
      <c r="J39" s="215" t="e">
        <f t="shared" ca="1" si="14"/>
        <v>#DIV/0!</v>
      </c>
      <c r="K39" s="215" t="e">
        <f t="shared" ca="1" si="14"/>
        <v>#DIV/0!</v>
      </c>
      <c r="L39" s="215" t="e">
        <f t="shared" ca="1" si="14"/>
        <v>#DIV/0!</v>
      </c>
      <c r="M39" s="215" t="e">
        <f t="shared" ca="1" si="14"/>
        <v>#DIV/0!</v>
      </c>
      <c r="N39" s="216" t="e">
        <f t="shared" ca="1" si="14"/>
        <v>#DIV/0!</v>
      </c>
      <c r="O39" s="215" t="e">
        <f t="shared" ca="1" si="14"/>
        <v>#DIV/0!</v>
      </c>
      <c r="P39" s="215" t="e">
        <f t="shared" ca="1" si="14"/>
        <v>#DIV/0!</v>
      </c>
      <c r="Q39" s="215" t="e">
        <f t="shared" ca="1" si="14"/>
        <v>#DIV/0!</v>
      </c>
      <c r="R39" s="215" t="e">
        <f t="shared" ca="1" si="14"/>
        <v>#DIV/0!</v>
      </c>
      <c r="S39" s="215" t="e">
        <f t="shared" ca="1" si="14"/>
        <v>#DIV/0!</v>
      </c>
      <c r="T39" s="215" t="e">
        <f t="shared" ca="1" si="14"/>
        <v>#DIV/0!</v>
      </c>
      <c r="U39" s="215" t="e">
        <f t="shared" ca="1" si="14"/>
        <v>#DIV/0!</v>
      </c>
      <c r="V39" s="216" t="e">
        <f t="shared" ca="1" si="14"/>
        <v>#DIV/0!</v>
      </c>
      <c r="W39" s="215" t="e">
        <f t="shared" ca="1" si="14"/>
        <v>#DIV/0!</v>
      </c>
      <c r="X39" s="215" t="e">
        <f t="shared" ca="1" si="14"/>
        <v>#DIV/0!</v>
      </c>
      <c r="Y39" s="215" t="e">
        <f t="shared" ca="1" si="14"/>
        <v>#DIV/0!</v>
      </c>
      <c r="Z39" s="215" t="e">
        <f t="shared" ca="1" si="14"/>
        <v>#DIV/0!</v>
      </c>
      <c r="AA39" s="215" t="e">
        <f t="shared" ca="1" si="14"/>
        <v>#DIV/0!</v>
      </c>
      <c r="AB39" s="215" t="e">
        <f t="shared" ca="1" si="14"/>
        <v>#DIV/0!</v>
      </c>
      <c r="AC39" s="215" t="e">
        <f t="shared" ca="1" si="14"/>
        <v>#DIV/0!</v>
      </c>
      <c r="AD39" s="216" t="e">
        <f t="shared" ca="1" si="14"/>
        <v>#DIV/0!</v>
      </c>
      <c r="AE39" s="215" t="e">
        <f t="shared" ca="1" si="14"/>
        <v>#DIV/0!</v>
      </c>
      <c r="AF39" s="215" t="e">
        <f t="shared" ca="1" si="14"/>
        <v>#DIV/0!</v>
      </c>
      <c r="AG39" s="215" t="e">
        <f t="shared" ca="1" si="14"/>
        <v>#DIV/0!</v>
      </c>
      <c r="AH39" s="215" t="e">
        <f t="shared" ca="1" si="14"/>
        <v>#DIV/0!</v>
      </c>
      <c r="AI39" s="215" t="e">
        <f t="shared" ca="1" si="14"/>
        <v>#DIV/0!</v>
      </c>
      <c r="AJ39" s="215" t="e">
        <f t="shared" ca="1" si="14"/>
        <v>#DIV/0!</v>
      </c>
      <c r="AK39" s="215" t="e">
        <f t="shared" ca="1" si="14"/>
        <v>#DIV/0!</v>
      </c>
      <c r="AL39" s="216" t="e">
        <f t="shared" ca="1" si="14"/>
        <v>#DIV/0!</v>
      </c>
      <c r="AM39" s="215" t="e">
        <f t="shared" ca="1" si="14"/>
        <v>#DIV/0!</v>
      </c>
      <c r="AN39" s="215" t="e">
        <f t="shared" ca="1" si="14"/>
        <v>#DIV/0!</v>
      </c>
      <c r="AO39" s="215" t="e">
        <f t="shared" ca="1" si="14"/>
        <v>#DIV/0!</v>
      </c>
      <c r="AP39" s="215" t="e">
        <f t="shared" ca="1" si="14"/>
        <v>#DIV/0!</v>
      </c>
      <c r="AQ39" s="215" t="e">
        <f ca="1">AQ41-AP41</f>
        <v>#DIV/0!</v>
      </c>
      <c r="AR39" s="215" t="e">
        <f ca="1">AR41-AQ41</f>
        <v>#DIV/0!</v>
      </c>
      <c r="AS39" s="215" t="e">
        <f ca="1">AS41-AR41</f>
        <v>#DIV/0!</v>
      </c>
      <c r="AT39" s="216" t="e">
        <f ca="1">AT41-AS41</f>
        <v>#DIV/0!</v>
      </c>
      <c r="AW39" s="377"/>
      <c r="AX39" s="377"/>
      <c r="AY39" s="376"/>
      <c r="BA39" s="87"/>
    </row>
    <row r="40" spans="1:54" s="84" customFormat="1" ht="12.75" customHeight="1" x14ac:dyDescent="0.2">
      <c r="C40" s="383"/>
      <c r="D40" s="384"/>
      <c r="E40" s="379"/>
      <c r="F40" s="88" t="s">
        <v>8</v>
      </c>
      <c r="G40" s="217" t="e">
        <f ca="1">G39*$E$39</f>
        <v>#DIV/0!</v>
      </c>
      <c r="H40" s="217" t="e">
        <f t="shared" ref="H40:AP40" ca="1" si="15">H39*$E$39</f>
        <v>#DIV/0!</v>
      </c>
      <c r="I40" s="217" t="e">
        <f t="shared" ca="1" si="15"/>
        <v>#DIV/0!</v>
      </c>
      <c r="J40" s="217" t="e">
        <f t="shared" ca="1" si="15"/>
        <v>#DIV/0!</v>
      </c>
      <c r="K40" s="217" t="e">
        <f t="shared" ca="1" si="15"/>
        <v>#DIV/0!</v>
      </c>
      <c r="L40" s="217" t="e">
        <f t="shared" ca="1" si="15"/>
        <v>#DIV/0!</v>
      </c>
      <c r="M40" s="217" t="e">
        <f t="shared" ca="1" si="15"/>
        <v>#DIV/0!</v>
      </c>
      <c r="N40" s="218" t="e">
        <f t="shared" ca="1" si="15"/>
        <v>#DIV/0!</v>
      </c>
      <c r="O40" s="217" t="e">
        <f t="shared" ca="1" si="15"/>
        <v>#DIV/0!</v>
      </c>
      <c r="P40" s="217" t="e">
        <f t="shared" ca="1" si="15"/>
        <v>#DIV/0!</v>
      </c>
      <c r="Q40" s="217" t="e">
        <f t="shared" ca="1" si="15"/>
        <v>#DIV/0!</v>
      </c>
      <c r="R40" s="217" t="e">
        <f t="shared" ca="1" si="15"/>
        <v>#DIV/0!</v>
      </c>
      <c r="S40" s="217" t="e">
        <f t="shared" ca="1" si="15"/>
        <v>#DIV/0!</v>
      </c>
      <c r="T40" s="217" t="e">
        <f t="shared" ca="1" si="15"/>
        <v>#DIV/0!</v>
      </c>
      <c r="U40" s="217" t="e">
        <f t="shared" ca="1" si="15"/>
        <v>#DIV/0!</v>
      </c>
      <c r="V40" s="218" t="e">
        <f t="shared" ca="1" si="15"/>
        <v>#DIV/0!</v>
      </c>
      <c r="W40" s="217" t="e">
        <f t="shared" ca="1" si="15"/>
        <v>#DIV/0!</v>
      </c>
      <c r="X40" s="217" t="e">
        <f t="shared" ca="1" si="15"/>
        <v>#DIV/0!</v>
      </c>
      <c r="Y40" s="217" t="e">
        <f t="shared" ca="1" si="15"/>
        <v>#DIV/0!</v>
      </c>
      <c r="Z40" s="217" t="e">
        <f t="shared" ca="1" si="15"/>
        <v>#DIV/0!</v>
      </c>
      <c r="AA40" s="217" t="e">
        <f t="shared" ca="1" si="15"/>
        <v>#DIV/0!</v>
      </c>
      <c r="AB40" s="217" t="e">
        <f t="shared" ca="1" si="15"/>
        <v>#DIV/0!</v>
      </c>
      <c r="AC40" s="217" t="e">
        <f t="shared" ca="1" si="15"/>
        <v>#DIV/0!</v>
      </c>
      <c r="AD40" s="218" t="e">
        <f t="shared" ca="1" si="15"/>
        <v>#DIV/0!</v>
      </c>
      <c r="AE40" s="217" t="e">
        <f t="shared" ca="1" si="15"/>
        <v>#DIV/0!</v>
      </c>
      <c r="AF40" s="217" t="e">
        <f t="shared" ca="1" si="15"/>
        <v>#DIV/0!</v>
      </c>
      <c r="AG40" s="217" t="e">
        <f t="shared" ca="1" si="15"/>
        <v>#DIV/0!</v>
      </c>
      <c r="AH40" s="217" t="e">
        <f t="shared" ca="1" si="15"/>
        <v>#DIV/0!</v>
      </c>
      <c r="AI40" s="217" t="e">
        <f t="shared" ca="1" si="15"/>
        <v>#DIV/0!</v>
      </c>
      <c r="AJ40" s="217" t="e">
        <f t="shared" ca="1" si="15"/>
        <v>#DIV/0!</v>
      </c>
      <c r="AK40" s="217" t="e">
        <f t="shared" ca="1" si="15"/>
        <v>#DIV/0!</v>
      </c>
      <c r="AL40" s="218" t="e">
        <f t="shared" ca="1" si="15"/>
        <v>#DIV/0!</v>
      </c>
      <c r="AM40" s="217" t="e">
        <f t="shared" ca="1" si="15"/>
        <v>#DIV/0!</v>
      </c>
      <c r="AN40" s="217" t="e">
        <f t="shared" ca="1" si="15"/>
        <v>#DIV/0!</v>
      </c>
      <c r="AO40" s="217" t="e">
        <f t="shared" ca="1" si="15"/>
        <v>#DIV/0!</v>
      </c>
      <c r="AP40" s="217" t="e">
        <f t="shared" ca="1" si="15"/>
        <v>#DIV/0!</v>
      </c>
      <c r="AQ40" s="217" t="e">
        <f ca="1">AQ39*$E$39</f>
        <v>#DIV/0!</v>
      </c>
      <c r="AR40" s="217" t="e">
        <f ca="1">AR39*$E$39</f>
        <v>#DIV/0!</v>
      </c>
      <c r="AS40" s="217" t="e">
        <f ca="1">AS39*$E$39</f>
        <v>#DIV/0!</v>
      </c>
      <c r="AT40" s="218" t="e">
        <f ca="1">AT39*$E$39</f>
        <v>#DIV/0!</v>
      </c>
      <c r="AW40" s="377"/>
      <c r="AX40" s="377"/>
      <c r="AY40" s="376"/>
      <c r="BA40" s="87"/>
    </row>
    <row r="41" spans="1:54" s="84" customFormat="1" ht="12.75" customHeight="1" x14ac:dyDescent="0.2">
      <c r="C41" s="383"/>
      <c r="D41" s="384"/>
      <c r="E41" s="379"/>
      <c r="F41" s="89" t="s">
        <v>9</v>
      </c>
      <c r="G41" s="219" t="e">
        <f t="array" aca="1" ref="G41" ca="1">SUMPRODUCT(((OFFSET($E$12,1,0,$A$12*2-1))*ISNUMBER(VALUE(OFFSET($C$12,1,0,$A$12*2-1))))*(IF(OFFSET(G$12,2,0,$A$12*2-1)&lt;&gt;"",OFFSET(G$12,2,0,$A$12*2-1),0)))/$E$39</f>
        <v>#DIV/0!</v>
      </c>
      <c r="H41" s="219" t="e">
        <f t="array" aca="1" ref="H41" ca="1">SUMPRODUCT(((OFFSET($E$12,1,0,$A$12*2-1))*ISNUMBER(VALUE(OFFSET($C$12,1,0,$A$12*2-1))))*(IF(OFFSET(H$12,2,0,$A$12*2-1)&lt;&gt;"",OFFSET(H$12,2,0,$A$12*2-1),0)))/$E$39</f>
        <v>#DIV/0!</v>
      </c>
      <c r="I41" s="219" t="e">
        <f t="array" aca="1" ref="I41" ca="1">SUMPRODUCT(((OFFSET($E$12,1,0,$A$12*2-1))*ISNUMBER(VALUE(OFFSET($C$12,1,0,$A$12*2-1))))*(IF(OFFSET(I$12,2,0,$A$12*2-1)&lt;&gt;"",OFFSET(I$12,2,0,$A$12*2-1),0)))/$E$39</f>
        <v>#DIV/0!</v>
      </c>
      <c r="J41" s="219" t="e">
        <f t="array" aca="1" ref="J41" ca="1">SUMPRODUCT(((OFFSET($E$12,1,0,$A$12*2-1))*ISNUMBER(VALUE(OFFSET($C$12,1,0,$A$12*2-1))))*(IF(OFFSET(J$12,2,0,$A$12*2-1)&lt;&gt;"",OFFSET(J$12,2,0,$A$12*2-1),0)))/$E$39</f>
        <v>#DIV/0!</v>
      </c>
      <c r="K41" s="219" t="e">
        <f t="array" aca="1" ref="K41" ca="1">SUMPRODUCT(((OFFSET($E$12,1,0,$A$12*2-1))*ISNUMBER(VALUE(OFFSET($C$12,1,0,$A$12*2-1))))*(IF(OFFSET(K$12,2,0,$A$12*2-1)&lt;&gt;"",OFFSET(K$12,2,0,$A$12*2-1),0)))/$E$39</f>
        <v>#DIV/0!</v>
      </c>
      <c r="L41" s="219" t="e">
        <f t="array" aca="1" ref="L41" ca="1">SUMPRODUCT(((OFFSET($E$12,1,0,$A$12*2-1))*ISNUMBER(VALUE(OFFSET($C$12,1,0,$A$12*2-1))))*(IF(OFFSET(L$12,2,0,$A$12*2-1)&lt;&gt;"",OFFSET(L$12,2,0,$A$12*2-1),0)))/$E$39</f>
        <v>#DIV/0!</v>
      </c>
      <c r="M41" s="219" t="e">
        <f t="array" aca="1" ref="M41" ca="1">SUMPRODUCT(((OFFSET($E$12,1,0,$A$12*2-1))*ISNUMBER(VALUE(OFFSET($C$12,1,0,$A$12*2-1))))*(IF(OFFSET(M$12,2,0,$A$12*2-1)&lt;&gt;"",OFFSET(M$12,2,0,$A$12*2-1),0)))/$E$39</f>
        <v>#DIV/0!</v>
      </c>
      <c r="N41" s="220" t="e">
        <f t="array" aca="1" ref="N41" ca="1">SUMPRODUCT(((OFFSET($E$12,1,0,$A$12*2-1))*ISNUMBER(VALUE(OFFSET($C$12,1,0,$A$12*2-1))))*(IF(OFFSET(N$12,2,0,$A$12*2-1)&lt;&gt;"",OFFSET(N$12,2,0,$A$12*2-1),0)))/$E$39</f>
        <v>#DIV/0!</v>
      </c>
      <c r="O41" s="219" t="e">
        <f t="array" aca="1" ref="O41" ca="1">SUMPRODUCT(((OFFSET($E$12,1,0,$A$12*2-1))*ISNUMBER(VALUE(OFFSET($C$12,1,0,$A$12*2-1))))*(IF(OFFSET(O$12,2,0,$A$12*2-1)&lt;&gt;"",OFFSET(O$12,2,0,$A$12*2-1),0)))/$E$39</f>
        <v>#DIV/0!</v>
      </c>
      <c r="P41" s="219" t="e">
        <f t="array" aca="1" ref="P41" ca="1">SUMPRODUCT(((OFFSET($E$12,1,0,$A$12*2-1))*ISNUMBER(VALUE(OFFSET($C$12,1,0,$A$12*2-1))))*(IF(OFFSET(P$12,2,0,$A$12*2-1)&lt;&gt;"",OFFSET(P$12,2,0,$A$12*2-1),0)))/$E$39</f>
        <v>#DIV/0!</v>
      </c>
      <c r="Q41" s="219" t="e">
        <f t="array" aca="1" ref="Q41" ca="1">SUMPRODUCT(((OFFSET($E$12,1,0,$A$12*2-1))*ISNUMBER(VALUE(OFFSET($C$12,1,0,$A$12*2-1))))*(IF(OFFSET(Q$12,2,0,$A$12*2-1)&lt;&gt;"",OFFSET(Q$12,2,0,$A$12*2-1),0)))/$E$39</f>
        <v>#DIV/0!</v>
      </c>
      <c r="R41" s="219" t="e">
        <f t="array" aca="1" ref="R41" ca="1">SUMPRODUCT(((OFFSET($E$12,1,0,$A$12*2-1))*ISNUMBER(VALUE(OFFSET($C$12,1,0,$A$12*2-1))))*(IF(OFFSET(R$12,2,0,$A$12*2-1)&lt;&gt;"",OFFSET(R$12,2,0,$A$12*2-1),0)))/$E$39</f>
        <v>#DIV/0!</v>
      </c>
      <c r="S41" s="219" t="e">
        <f t="array" aca="1" ref="S41" ca="1">SUMPRODUCT(((OFFSET($E$12,1,0,$A$12*2-1))*ISNUMBER(VALUE(OFFSET($C$12,1,0,$A$12*2-1))))*(IF(OFFSET(S$12,2,0,$A$12*2-1)&lt;&gt;"",OFFSET(S$12,2,0,$A$12*2-1),0)))/$E$39</f>
        <v>#DIV/0!</v>
      </c>
      <c r="T41" s="219" t="e">
        <f t="array" aca="1" ref="T41" ca="1">SUMPRODUCT(((OFFSET($E$12,1,0,$A$12*2-1))*ISNUMBER(VALUE(OFFSET($C$12,1,0,$A$12*2-1))))*(IF(OFFSET(T$12,2,0,$A$12*2-1)&lt;&gt;"",OFFSET(T$12,2,0,$A$12*2-1),0)))/$E$39</f>
        <v>#DIV/0!</v>
      </c>
      <c r="U41" s="219" t="e">
        <f t="array" aca="1" ref="U41" ca="1">SUMPRODUCT(((OFFSET($E$12,1,0,$A$12*2-1))*ISNUMBER(VALUE(OFFSET($C$12,1,0,$A$12*2-1))))*(IF(OFFSET(U$12,2,0,$A$12*2-1)&lt;&gt;"",OFFSET(U$12,2,0,$A$12*2-1),0)))/$E$39</f>
        <v>#DIV/0!</v>
      </c>
      <c r="V41" s="220" t="e">
        <f t="array" aca="1" ref="V41" ca="1">SUMPRODUCT(((OFFSET($E$12,1,0,$A$12*2-1))*ISNUMBER(VALUE(OFFSET($C$12,1,0,$A$12*2-1))))*(IF(OFFSET(V$12,2,0,$A$12*2-1)&lt;&gt;"",OFFSET(V$12,2,0,$A$12*2-1),0)))/$E$39</f>
        <v>#DIV/0!</v>
      </c>
      <c r="W41" s="219" t="e">
        <f t="array" aca="1" ref="W41" ca="1">SUMPRODUCT(((OFFSET($E$12,1,0,$A$12*2-1))*ISNUMBER(VALUE(OFFSET($C$12,1,0,$A$12*2-1))))*(IF(OFFSET(W$12,2,0,$A$12*2-1)&lt;&gt;"",OFFSET(W$12,2,0,$A$12*2-1),0)))/$E$39</f>
        <v>#DIV/0!</v>
      </c>
      <c r="X41" s="219" t="e">
        <f t="array" aca="1" ref="X41" ca="1">SUMPRODUCT(((OFFSET($E$12,1,0,$A$12*2-1))*ISNUMBER(VALUE(OFFSET($C$12,1,0,$A$12*2-1))))*(IF(OFFSET(X$12,2,0,$A$12*2-1)&lt;&gt;"",OFFSET(X$12,2,0,$A$12*2-1),0)))/$E$39</f>
        <v>#DIV/0!</v>
      </c>
      <c r="Y41" s="219" t="e">
        <f t="array" aca="1" ref="Y41" ca="1">SUMPRODUCT(((OFFSET($E$12,1,0,$A$12*2-1))*ISNUMBER(VALUE(OFFSET($C$12,1,0,$A$12*2-1))))*(IF(OFFSET(Y$12,2,0,$A$12*2-1)&lt;&gt;"",OFFSET(Y$12,2,0,$A$12*2-1),0)))/$E$39</f>
        <v>#DIV/0!</v>
      </c>
      <c r="Z41" s="219" t="e">
        <f t="array" aca="1" ref="Z41" ca="1">SUMPRODUCT(((OFFSET($E$12,1,0,$A$12*2-1))*ISNUMBER(VALUE(OFFSET($C$12,1,0,$A$12*2-1))))*(IF(OFFSET(Z$12,2,0,$A$12*2-1)&lt;&gt;"",OFFSET(Z$12,2,0,$A$12*2-1),0)))/$E$39</f>
        <v>#DIV/0!</v>
      </c>
      <c r="AA41" s="219" t="e">
        <f t="array" aca="1" ref="AA41" ca="1">SUMPRODUCT(((OFFSET($E$12,1,0,$A$12*2-1))*ISNUMBER(VALUE(OFFSET($C$12,1,0,$A$12*2-1))))*(IF(OFFSET(AA$12,2,0,$A$12*2-1)&lt;&gt;"",OFFSET(AA$12,2,0,$A$12*2-1),0)))/$E$39</f>
        <v>#DIV/0!</v>
      </c>
      <c r="AB41" s="219" t="e">
        <f t="array" aca="1" ref="AB41" ca="1">SUMPRODUCT(((OFFSET($E$12,1,0,$A$12*2-1))*ISNUMBER(VALUE(OFFSET($C$12,1,0,$A$12*2-1))))*(IF(OFFSET(AB$12,2,0,$A$12*2-1)&lt;&gt;"",OFFSET(AB$12,2,0,$A$12*2-1),0)))/$E$39</f>
        <v>#DIV/0!</v>
      </c>
      <c r="AC41" s="219" t="e">
        <f t="array" aca="1" ref="AC41" ca="1">SUMPRODUCT(((OFFSET($E$12,1,0,$A$12*2-1))*ISNUMBER(VALUE(OFFSET($C$12,1,0,$A$12*2-1))))*(IF(OFFSET(AC$12,2,0,$A$12*2-1)&lt;&gt;"",OFFSET(AC$12,2,0,$A$12*2-1),0)))/$E$39</f>
        <v>#DIV/0!</v>
      </c>
      <c r="AD41" s="220" t="e">
        <f t="array" aca="1" ref="AD41" ca="1">SUMPRODUCT(((OFFSET($E$12,1,0,$A$12*2-1))*ISNUMBER(VALUE(OFFSET($C$12,1,0,$A$12*2-1))))*(IF(OFFSET(AD$12,2,0,$A$12*2-1)&lt;&gt;"",OFFSET(AD$12,2,0,$A$12*2-1),0)))/$E$39</f>
        <v>#DIV/0!</v>
      </c>
      <c r="AE41" s="219" t="e">
        <f t="array" aca="1" ref="AE41" ca="1">SUMPRODUCT(((OFFSET($E$12,1,0,$A$12*2-1))*ISNUMBER(VALUE(OFFSET($C$12,1,0,$A$12*2-1))))*(IF(OFFSET(AE$12,2,0,$A$12*2-1)&lt;&gt;"",OFFSET(AE$12,2,0,$A$12*2-1),0)))/$E$39</f>
        <v>#DIV/0!</v>
      </c>
      <c r="AF41" s="219" t="e">
        <f t="array" aca="1" ref="AF41" ca="1">SUMPRODUCT(((OFFSET($E$12,1,0,$A$12*2-1))*ISNUMBER(VALUE(OFFSET($C$12,1,0,$A$12*2-1))))*(IF(OFFSET(AF$12,2,0,$A$12*2-1)&lt;&gt;"",OFFSET(AF$12,2,0,$A$12*2-1),0)))/$E$39</f>
        <v>#DIV/0!</v>
      </c>
      <c r="AG41" s="219" t="e">
        <f t="array" aca="1" ref="AG41" ca="1">SUMPRODUCT(((OFFSET($E$12,1,0,$A$12*2-1))*ISNUMBER(VALUE(OFFSET($C$12,1,0,$A$12*2-1))))*(IF(OFFSET(AG$12,2,0,$A$12*2-1)&lt;&gt;"",OFFSET(AG$12,2,0,$A$12*2-1),0)))/$E$39</f>
        <v>#DIV/0!</v>
      </c>
      <c r="AH41" s="219" t="e">
        <f t="array" aca="1" ref="AH41" ca="1">SUMPRODUCT(((OFFSET($E$12,1,0,$A$12*2-1))*ISNUMBER(VALUE(OFFSET($C$12,1,0,$A$12*2-1))))*(IF(OFFSET(AH$12,2,0,$A$12*2-1)&lt;&gt;"",OFFSET(AH$12,2,0,$A$12*2-1),0)))/$E$39</f>
        <v>#DIV/0!</v>
      </c>
      <c r="AI41" s="219" t="e">
        <f t="array" aca="1" ref="AI41" ca="1">SUMPRODUCT(((OFFSET($E$12,1,0,$A$12*2-1))*ISNUMBER(VALUE(OFFSET($C$12,1,0,$A$12*2-1))))*(IF(OFFSET(AI$12,2,0,$A$12*2-1)&lt;&gt;"",OFFSET(AI$12,2,0,$A$12*2-1),0)))/$E$39</f>
        <v>#DIV/0!</v>
      </c>
      <c r="AJ41" s="219" t="e">
        <f t="array" aca="1" ref="AJ41" ca="1">SUMPRODUCT(((OFFSET($E$12,1,0,$A$12*2-1))*ISNUMBER(VALUE(OFFSET($C$12,1,0,$A$12*2-1))))*(IF(OFFSET(AJ$12,2,0,$A$12*2-1)&lt;&gt;"",OFFSET(AJ$12,2,0,$A$12*2-1),0)))/$E$39</f>
        <v>#DIV/0!</v>
      </c>
      <c r="AK41" s="219" t="e">
        <f t="array" aca="1" ref="AK41" ca="1">SUMPRODUCT(((OFFSET($E$12,1,0,$A$12*2-1))*ISNUMBER(VALUE(OFFSET($C$12,1,0,$A$12*2-1))))*(IF(OFFSET(AK$12,2,0,$A$12*2-1)&lt;&gt;"",OFFSET(AK$12,2,0,$A$12*2-1),0)))/$E$39</f>
        <v>#DIV/0!</v>
      </c>
      <c r="AL41" s="220" t="e">
        <f t="array" aca="1" ref="AL41" ca="1">SUMPRODUCT(((OFFSET($E$12,1,0,$A$12*2-1))*ISNUMBER(VALUE(OFFSET($C$12,1,0,$A$12*2-1))))*(IF(OFFSET(AL$12,2,0,$A$12*2-1)&lt;&gt;"",OFFSET(AL$12,2,0,$A$12*2-1),0)))/$E$39</f>
        <v>#DIV/0!</v>
      </c>
      <c r="AM41" s="219" t="e">
        <f t="array" aca="1" ref="AM41" ca="1">SUMPRODUCT(((OFFSET($E$12,1,0,$A$12*2-1))*ISNUMBER(VALUE(OFFSET($C$12,1,0,$A$12*2-1))))*(IF(OFFSET(AM$12,2,0,$A$12*2-1)&lt;&gt;"",OFFSET(AM$12,2,0,$A$12*2-1),0)))/$E$39</f>
        <v>#DIV/0!</v>
      </c>
      <c r="AN41" s="219" t="e">
        <f t="array" aca="1" ref="AN41" ca="1">SUMPRODUCT(((OFFSET($E$12,1,0,$A$12*2-1))*ISNUMBER(VALUE(OFFSET($C$12,1,0,$A$12*2-1))))*(IF(OFFSET(AN$12,2,0,$A$12*2-1)&lt;&gt;"",OFFSET(AN$12,2,0,$A$12*2-1),0)))/$E$39</f>
        <v>#DIV/0!</v>
      </c>
      <c r="AO41" s="219" t="e">
        <f t="array" aca="1" ref="AO41" ca="1">SUMPRODUCT(((OFFSET($E$12,1,0,$A$12*2-1))*ISNUMBER(VALUE(OFFSET($C$12,1,0,$A$12*2-1))))*(IF(OFFSET(AO$12,2,0,$A$12*2-1)&lt;&gt;"",OFFSET(AO$12,2,0,$A$12*2-1),0)))/$E$39</f>
        <v>#DIV/0!</v>
      </c>
      <c r="AP41" s="221" t="e">
        <f t="array" aca="1" ref="AP41" ca="1">SUMPRODUCT(((OFFSET($E$12,1,0,$A$12*2-1))*ISNUMBER(VALUE(OFFSET($C$12,1,0,$A$12*2-1))))*(IF(OFFSET(AP$12,2,0,$A$12*2-1)&lt;&gt;"",OFFSET(AP$12,2,0,$A$12*2-1),0)))/$E$39</f>
        <v>#DIV/0!</v>
      </c>
      <c r="AQ41" s="219" t="e">
        <f t="array" aca="1" ref="AQ41" ca="1">SUMPRODUCT(((OFFSET($E$12,1,0,$A$12*2-1))*ISNUMBER(VALUE(OFFSET($C$12,1,0,$A$12*2-1))))*(IF(OFFSET(AQ$12,2,0,$A$12*2-1)&lt;&gt;"",OFFSET(AQ$12,2,0,$A$12*2-1),0)))/$E$39</f>
        <v>#DIV/0!</v>
      </c>
      <c r="AR41" s="221" t="e">
        <f t="array" aca="1" ref="AR41" ca="1">SUMPRODUCT(((OFFSET($E$12,1,0,$A$12*2-1))*ISNUMBER(VALUE(OFFSET($C$12,1,0,$A$12*2-1))))*(IF(OFFSET(AR$12,2,0,$A$12*2-1)&lt;&gt;"",OFFSET(AR$12,2,0,$A$12*2-1),0)))/$E$39</f>
        <v>#DIV/0!</v>
      </c>
      <c r="AS41" s="219" t="e">
        <f t="array" aca="1" ref="AS41" ca="1">SUMPRODUCT(((OFFSET($E$12,1,0,$A$12*2-1))*ISNUMBER(VALUE(OFFSET($C$12,1,0,$A$12*2-1))))*(IF(OFFSET(AS$12,2,0,$A$12*2-1)&lt;&gt;"",OFFSET(AS$12,2,0,$A$12*2-1),0)))/$E$39</f>
        <v>#DIV/0!</v>
      </c>
      <c r="AT41" s="222" t="e">
        <f t="array" aca="1" ref="AT41" ca="1">SUMPRODUCT(((OFFSET($E$12,1,0,$A$12*2-1))*ISNUMBER(VALUE(OFFSET($C$12,1,0,$A$12*2-1))))*(IF(OFFSET(AT$12,2,0,$A$12*2-1)&lt;&gt;"",OFFSET(AT$12,2,0,$A$12*2-1),0)))/$E$39</f>
        <v>#DIV/0!</v>
      </c>
      <c r="AW41" s="377"/>
      <c r="AX41" s="377"/>
      <c r="AY41" s="376"/>
      <c r="BA41" s="87"/>
    </row>
    <row r="42" spans="1:54" s="84" customFormat="1" ht="12.75" customHeight="1" x14ac:dyDescent="0.2">
      <c r="C42" s="385"/>
      <c r="D42" s="386"/>
      <c r="E42" s="380"/>
      <c r="F42" s="90" t="s">
        <v>160</v>
      </c>
      <c r="G42" s="223" t="e">
        <f ca="1">G41*$E$39</f>
        <v>#DIV/0!</v>
      </c>
      <c r="H42" s="223" t="e">
        <f t="shared" ref="H42:AP42" ca="1" si="16">H41*$E$39</f>
        <v>#DIV/0!</v>
      </c>
      <c r="I42" s="223" t="e">
        <f t="shared" ca="1" si="16"/>
        <v>#DIV/0!</v>
      </c>
      <c r="J42" s="223" t="e">
        <f t="shared" ca="1" si="16"/>
        <v>#DIV/0!</v>
      </c>
      <c r="K42" s="223" t="e">
        <f t="shared" ca="1" si="16"/>
        <v>#DIV/0!</v>
      </c>
      <c r="L42" s="223" t="e">
        <f t="shared" ca="1" si="16"/>
        <v>#DIV/0!</v>
      </c>
      <c r="M42" s="223" t="e">
        <f t="shared" ca="1" si="16"/>
        <v>#DIV/0!</v>
      </c>
      <c r="N42" s="224" t="e">
        <f t="shared" ca="1" si="16"/>
        <v>#DIV/0!</v>
      </c>
      <c r="O42" s="223" t="e">
        <f t="shared" ca="1" si="16"/>
        <v>#DIV/0!</v>
      </c>
      <c r="P42" s="223" t="e">
        <f t="shared" ca="1" si="16"/>
        <v>#DIV/0!</v>
      </c>
      <c r="Q42" s="223" t="e">
        <f t="shared" ca="1" si="16"/>
        <v>#DIV/0!</v>
      </c>
      <c r="R42" s="223" t="e">
        <f t="shared" ca="1" si="16"/>
        <v>#DIV/0!</v>
      </c>
      <c r="S42" s="223" t="e">
        <f t="shared" ca="1" si="16"/>
        <v>#DIV/0!</v>
      </c>
      <c r="T42" s="223" t="e">
        <f t="shared" ca="1" si="16"/>
        <v>#DIV/0!</v>
      </c>
      <c r="U42" s="223" t="e">
        <f t="shared" ca="1" si="16"/>
        <v>#DIV/0!</v>
      </c>
      <c r="V42" s="224" t="e">
        <f t="shared" ca="1" si="16"/>
        <v>#DIV/0!</v>
      </c>
      <c r="W42" s="223" t="e">
        <f t="shared" ca="1" si="16"/>
        <v>#DIV/0!</v>
      </c>
      <c r="X42" s="223" t="e">
        <f t="shared" ca="1" si="16"/>
        <v>#DIV/0!</v>
      </c>
      <c r="Y42" s="223" t="e">
        <f t="shared" ca="1" si="16"/>
        <v>#DIV/0!</v>
      </c>
      <c r="Z42" s="223" t="e">
        <f t="shared" ca="1" si="16"/>
        <v>#DIV/0!</v>
      </c>
      <c r="AA42" s="223" t="e">
        <f t="shared" ca="1" si="16"/>
        <v>#DIV/0!</v>
      </c>
      <c r="AB42" s="223" t="e">
        <f t="shared" ca="1" si="16"/>
        <v>#DIV/0!</v>
      </c>
      <c r="AC42" s="223" t="e">
        <f t="shared" ca="1" si="16"/>
        <v>#DIV/0!</v>
      </c>
      <c r="AD42" s="224" t="e">
        <f t="shared" ca="1" si="16"/>
        <v>#DIV/0!</v>
      </c>
      <c r="AE42" s="223" t="e">
        <f t="shared" ca="1" si="16"/>
        <v>#DIV/0!</v>
      </c>
      <c r="AF42" s="223" t="e">
        <f t="shared" ca="1" si="16"/>
        <v>#DIV/0!</v>
      </c>
      <c r="AG42" s="223" t="e">
        <f t="shared" ca="1" si="16"/>
        <v>#DIV/0!</v>
      </c>
      <c r="AH42" s="223" t="e">
        <f t="shared" ca="1" si="16"/>
        <v>#DIV/0!</v>
      </c>
      <c r="AI42" s="223" t="e">
        <f t="shared" ca="1" si="16"/>
        <v>#DIV/0!</v>
      </c>
      <c r="AJ42" s="223" t="e">
        <f t="shared" ca="1" si="16"/>
        <v>#DIV/0!</v>
      </c>
      <c r="AK42" s="223" t="e">
        <f t="shared" ca="1" si="16"/>
        <v>#DIV/0!</v>
      </c>
      <c r="AL42" s="224" t="e">
        <f t="shared" ca="1" si="16"/>
        <v>#DIV/0!</v>
      </c>
      <c r="AM42" s="223" t="e">
        <f t="shared" ca="1" si="16"/>
        <v>#DIV/0!</v>
      </c>
      <c r="AN42" s="223" t="e">
        <f t="shared" ca="1" si="16"/>
        <v>#DIV/0!</v>
      </c>
      <c r="AO42" s="223" t="e">
        <f t="shared" ca="1" si="16"/>
        <v>#DIV/0!</v>
      </c>
      <c r="AP42" s="223" t="e">
        <f t="shared" ca="1" si="16"/>
        <v>#DIV/0!</v>
      </c>
      <c r="AQ42" s="223" t="e">
        <f ca="1">AQ41*$E$39</f>
        <v>#DIV/0!</v>
      </c>
      <c r="AR42" s="223" t="e">
        <f ca="1">AR41*$E$39</f>
        <v>#DIV/0!</v>
      </c>
      <c r="AS42" s="223" t="e">
        <f ca="1">AS41*$E$39</f>
        <v>#DIV/0!</v>
      </c>
      <c r="AT42" s="224" t="e">
        <f ca="1">AT41*$E$39</f>
        <v>#DIV/0!</v>
      </c>
      <c r="AY42" s="87"/>
      <c r="BA42" s="87"/>
    </row>
    <row r="43" spans="1:54" s="91" customFormat="1" ht="6" customHeight="1" x14ac:dyDescent="0.2">
      <c r="E43" s="92"/>
      <c r="H43" s="92"/>
      <c r="AR43" s="93"/>
      <c r="AS43" s="93"/>
      <c r="AT43" s="93"/>
      <c r="AU43" s="93"/>
      <c r="AV43" s="93"/>
      <c r="AW43" s="93"/>
      <c r="AX43" s="93"/>
      <c r="AY43" s="94"/>
      <c r="AZ43" s="93"/>
      <c r="BA43" s="93"/>
      <c r="BB43" s="93"/>
    </row>
    <row r="44" spans="1:54" ht="36.75" customHeight="1" x14ac:dyDescent="0.2">
      <c r="C44" s="95" t="s">
        <v>4</v>
      </c>
      <c r="D44" s="96">
        <f>DADOS!I26</f>
        <v>0</v>
      </c>
      <c r="E44" s="97" t="s">
        <v>5</v>
      </c>
      <c r="F44" s="107">
        <f ca="1">TODAY()</f>
        <v>43236</v>
      </c>
      <c r="G44" s="98" t="s">
        <v>161</v>
      </c>
      <c r="H44" s="362"/>
      <c r="I44" s="363"/>
      <c r="J44" s="363"/>
      <c r="K44" s="363"/>
      <c r="L44" s="363"/>
      <c r="M44" s="363"/>
      <c r="N44" s="364"/>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100"/>
      <c r="AN44" s="100"/>
      <c r="AO44" s="100"/>
      <c r="AP44" s="100"/>
      <c r="AQ44" s="100"/>
      <c r="AT44" s="102"/>
      <c r="AX44" s="77"/>
      <c r="AY44" s="77"/>
      <c r="AZ44" s="77"/>
      <c r="BA44" s="77"/>
      <c r="BB44" s="77"/>
    </row>
    <row r="45" spans="1:54" ht="12" customHeight="1" x14ac:dyDescent="0.2">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100"/>
      <c r="AN45" s="100"/>
      <c r="AO45" s="100"/>
      <c r="AP45" s="100"/>
      <c r="AQ45" s="100"/>
      <c r="AT45" s="102"/>
      <c r="AX45" s="77"/>
      <c r="AY45" s="77"/>
      <c r="AZ45" s="77"/>
      <c r="BA45" s="77"/>
      <c r="BB45" s="77"/>
    </row>
    <row r="46" spans="1:54" ht="4.5" customHeight="1" x14ac:dyDescent="0.2">
      <c r="B46" s="99"/>
      <c r="C46" s="99"/>
      <c r="D46" s="103"/>
      <c r="E46" s="103"/>
      <c r="F46" s="99"/>
      <c r="G46" s="99"/>
      <c r="H46" s="103"/>
      <c r="I46" s="103"/>
      <c r="J46" s="103"/>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100"/>
      <c r="AN46" s="100"/>
      <c r="AO46" s="100"/>
      <c r="AP46" s="100"/>
      <c r="AQ46" s="100"/>
      <c r="AT46" s="102"/>
      <c r="AX46" s="77"/>
      <c r="AY46" s="77"/>
      <c r="AZ46" s="77"/>
      <c r="BA46" s="77"/>
      <c r="BB46" s="77"/>
    </row>
    <row r="47" spans="1:54" x14ac:dyDescent="0.2">
      <c r="B47" s="99"/>
      <c r="C47" s="104"/>
      <c r="D47" s="369"/>
      <c r="E47" s="369"/>
      <c r="F47" s="99"/>
      <c r="G47" s="104"/>
      <c r="H47" s="368"/>
      <c r="I47" s="368"/>
      <c r="J47" s="368"/>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100"/>
      <c r="AN47" s="100"/>
      <c r="AO47" s="100"/>
      <c r="AP47" s="100"/>
      <c r="AQ47" s="100"/>
      <c r="AT47" s="102"/>
      <c r="AX47" s="77"/>
      <c r="AY47" s="77"/>
      <c r="AZ47" s="77"/>
      <c r="BA47" s="77"/>
      <c r="BB47" s="77"/>
    </row>
    <row r="48" spans="1:54" x14ac:dyDescent="0.2">
      <c r="B48" s="99"/>
      <c r="C48" s="104"/>
      <c r="D48" s="369"/>
      <c r="E48" s="369"/>
      <c r="F48" s="99"/>
      <c r="G48" s="104"/>
      <c r="H48" s="368"/>
      <c r="I48" s="368"/>
      <c r="J48" s="368"/>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100"/>
      <c r="AN48" s="100"/>
      <c r="AO48" s="100"/>
      <c r="AP48" s="100"/>
      <c r="AQ48" s="100"/>
      <c r="AT48" s="102"/>
      <c r="AX48" s="77"/>
      <c r="AY48" s="77"/>
      <c r="AZ48" s="77"/>
      <c r="BA48" s="77"/>
      <c r="BB48" s="77"/>
    </row>
    <row r="49" spans="2:54" x14ac:dyDescent="0.2">
      <c r="B49" s="99"/>
      <c r="C49" s="104"/>
      <c r="D49" s="370"/>
      <c r="E49" s="369"/>
      <c r="F49" s="99"/>
      <c r="G49" s="104"/>
      <c r="H49" s="368"/>
      <c r="I49" s="368"/>
      <c r="J49" s="368"/>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100"/>
      <c r="AN49" s="100"/>
      <c r="AO49" s="100"/>
      <c r="AP49" s="100"/>
      <c r="AQ49" s="100"/>
      <c r="AT49" s="102"/>
      <c r="AX49" s="77"/>
      <c r="AY49" s="77"/>
      <c r="AZ49" s="77"/>
      <c r="BA49" s="77"/>
      <c r="BB49" s="77"/>
    </row>
    <row r="50" spans="2:54" x14ac:dyDescent="0.2">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100"/>
      <c r="AO50" s="100"/>
      <c r="AP50" s="100"/>
      <c r="AQ50" s="100"/>
      <c r="AU50" s="102"/>
      <c r="AY50" s="77"/>
      <c r="AZ50" s="77"/>
      <c r="BA50" s="77"/>
      <c r="BB50" s="77"/>
    </row>
    <row r="51" spans="2:54" x14ac:dyDescent="0.2">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100"/>
      <c r="AO51" s="100"/>
      <c r="AP51" s="100"/>
      <c r="AQ51" s="100"/>
      <c r="AU51" s="102"/>
      <c r="AY51" s="77"/>
      <c r="AZ51" s="77"/>
      <c r="BA51" s="77"/>
      <c r="BB51" s="77"/>
    </row>
    <row r="52" spans="2:54" x14ac:dyDescent="0.2">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100"/>
      <c r="AO52" s="100"/>
      <c r="AP52" s="100"/>
      <c r="AQ52" s="100"/>
      <c r="AU52" s="102"/>
      <c r="AY52" s="77"/>
      <c r="AZ52" s="77"/>
      <c r="BA52" s="77"/>
      <c r="BB52" s="77"/>
    </row>
    <row r="53" spans="2:54" x14ac:dyDescent="0.2">
      <c r="B53" s="99"/>
      <c r="C53" s="99"/>
      <c r="D53" s="99"/>
      <c r="E53" s="105"/>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row>
    <row r="54" spans="2:54" x14ac:dyDescent="0.2">
      <c r="B54" s="99"/>
      <c r="C54" s="99"/>
      <c r="D54" s="99"/>
      <c r="E54" s="105"/>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row>
    <row r="55" spans="2:54" x14ac:dyDescent="0.2">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row>
  </sheetData>
  <sheetProtection password="E005" sheet="1" objects="1" scenarios="1"/>
  <mergeCells count="54">
    <mergeCell ref="C15:C16"/>
    <mergeCell ref="D15:D16"/>
    <mergeCell ref="C25:C26"/>
    <mergeCell ref="D25:D26"/>
    <mergeCell ref="E25:E26"/>
    <mergeCell ref="C19:C20"/>
    <mergeCell ref="D19:D20"/>
    <mergeCell ref="E19:E20"/>
    <mergeCell ref="C21:C22"/>
    <mergeCell ref="D21:D22"/>
    <mergeCell ref="E21:E22"/>
    <mergeCell ref="AY39:AY41"/>
    <mergeCell ref="AW39:AW41"/>
    <mergeCell ref="E39:E42"/>
    <mergeCell ref="D27:D28"/>
    <mergeCell ref="E27:E28"/>
    <mergeCell ref="C39:D42"/>
    <mergeCell ref="D37:D38"/>
    <mergeCell ref="C27:C28"/>
    <mergeCell ref="AX39:AX41"/>
    <mergeCell ref="E31:E32"/>
    <mergeCell ref="C33:C34"/>
    <mergeCell ref="D33:D34"/>
    <mergeCell ref="E33:E34"/>
    <mergeCell ref="D31:D32"/>
    <mergeCell ref="E35:E36"/>
    <mergeCell ref="C35:C36"/>
    <mergeCell ref="C1:C2"/>
    <mergeCell ref="D1:D2"/>
    <mergeCell ref="E1:E2"/>
    <mergeCell ref="C29:C30"/>
    <mergeCell ref="D29:D30"/>
    <mergeCell ref="E29:E30"/>
    <mergeCell ref="C23:C24"/>
    <mergeCell ref="D23:D24"/>
    <mergeCell ref="E23:E24"/>
    <mergeCell ref="E15:E16"/>
    <mergeCell ref="E13:E14"/>
    <mergeCell ref="C17:C18"/>
    <mergeCell ref="D17:D18"/>
    <mergeCell ref="E17:E18"/>
    <mergeCell ref="C13:C14"/>
    <mergeCell ref="D13:D14"/>
    <mergeCell ref="H47:J47"/>
    <mergeCell ref="H49:J49"/>
    <mergeCell ref="D47:E47"/>
    <mergeCell ref="D48:E48"/>
    <mergeCell ref="D49:E49"/>
    <mergeCell ref="H48:J48"/>
    <mergeCell ref="D35:D36"/>
    <mergeCell ref="C31:C32"/>
    <mergeCell ref="H44:N44"/>
    <mergeCell ref="C37:C38"/>
    <mergeCell ref="E37:E38"/>
  </mergeCells>
  <phoneticPr fontId="20" type="noConversion"/>
  <conditionalFormatting sqref="G41:AT41">
    <cfRule type="expression" dxfId="30" priority="193" stopIfTrue="1">
      <formula>AND(G$41=MAX($G$41:$AT$41),G$41&lt;&gt;1)</formula>
    </cfRule>
  </conditionalFormatting>
  <conditionalFormatting sqref="C13:E13">
    <cfRule type="expression" dxfId="29" priority="118" stopIfTrue="1">
      <formula>$C13=""</formula>
    </cfRule>
    <cfRule type="expression" dxfId="28" priority="122" stopIfTrue="1">
      <formula>ISNUMBER(VALUE($C13))</formula>
    </cfRule>
  </conditionalFormatting>
  <conditionalFormatting sqref="F14:AT14">
    <cfRule type="expression" dxfId="27" priority="119" stopIfTrue="1">
      <formula>OR(E14=1,$C13="")</formula>
    </cfRule>
    <cfRule type="expression" dxfId="26" priority="120" stopIfTrue="1">
      <formula>ISNUMBER(VALUE($C13))</formula>
    </cfRule>
  </conditionalFormatting>
  <conditionalFormatting sqref="F13:AT13">
    <cfRule type="expression" dxfId="25" priority="726" stopIfTrue="1">
      <formula>OR(E13=1,$C13="")</formula>
    </cfRule>
    <cfRule type="expression" dxfId="24" priority="727" stopIfTrue="1">
      <formula>ISNUMBER(VALUE($C13))</formula>
    </cfRule>
  </conditionalFormatting>
  <conditionalFormatting sqref="C15:E15 C17:E17">
    <cfRule type="expression" dxfId="23" priority="27" stopIfTrue="1">
      <formula>$C15=""</formula>
    </cfRule>
    <cfRule type="expression" dxfId="22" priority="30" stopIfTrue="1">
      <formula>ISNUMBER(VALUE($C15))</formula>
    </cfRule>
  </conditionalFormatting>
  <conditionalFormatting sqref="F16:AT16 F18:AT18">
    <cfRule type="expression" dxfId="21" priority="28" stopIfTrue="1">
      <formula>OR(E16=1,$C15="")</formula>
    </cfRule>
    <cfRule type="expression" dxfId="20" priority="29" stopIfTrue="1">
      <formula>ISNUMBER(VALUE($C15))</formula>
    </cfRule>
  </conditionalFormatting>
  <conditionalFormatting sqref="F15:AT15 F17:AT17">
    <cfRule type="expression" dxfId="19" priority="31" stopIfTrue="1">
      <formula>OR(E15=1,$C15="")</formula>
    </cfRule>
    <cfRule type="expression" dxfId="18" priority="32" stopIfTrue="1">
      <formula>ISNUMBER(VALUE($C15))</formula>
    </cfRule>
  </conditionalFormatting>
  <conditionalFormatting sqref="C19:E19 C23:E23 C27:E27 C31:E31 C35:E35 C21:E21 C25:E25 C29:E29 C33:E33">
    <cfRule type="expression" dxfId="17" priority="15" stopIfTrue="1">
      <formula>$C19=""</formula>
    </cfRule>
    <cfRule type="expression" dxfId="16" priority="18" stopIfTrue="1">
      <formula>ISNUMBER(VALUE($C19))</formula>
    </cfRule>
  </conditionalFormatting>
  <conditionalFormatting sqref="F20:AT20 F24:AT24 F28:AT28 F32:AT32 F36:AT36 F22:AT22 F26:AT26 F30:AT30 F34:AT34">
    <cfRule type="expression" dxfId="15" priority="16" stopIfTrue="1">
      <formula>OR(E20=1,$C19="")</formula>
    </cfRule>
    <cfRule type="expression" dxfId="14" priority="17" stopIfTrue="1">
      <formula>ISNUMBER(VALUE($C19))</formula>
    </cfRule>
  </conditionalFormatting>
  <conditionalFormatting sqref="F19:AT19 F23:AT23 F27:AT27 F31:AT31 F35:AT35 F21:AT21 F25:AT25 F29:AT29 F33:AT33">
    <cfRule type="expression" dxfId="13" priority="19" stopIfTrue="1">
      <formula>OR(E19=1,$C19="")</formula>
    </cfRule>
    <cfRule type="expression" dxfId="12" priority="20" stopIfTrue="1">
      <formula>ISNUMBER(VALUE($C19))</formula>
    </cfRule>
  </conditionalFormatting>
  <conditionalFormatting sqref="C1:E1">
    <cfRule type="expression" dxfId="11" priority="9" stopIfTrue="1">
      <formula>$C1=""</formula>
    </cfRule>
    <cfRule type="expression" dxfId="10" priority="12" stopIfTrue="1">
      <formula>ISNUMBER(VALUE($C1))</formula>
    </cfRule>
  </conditionalFormatting>
  <conditionalFormatting sqref="F2:AT2">
    <cfRule type="expression" dxfId="9" priority="10" stopIfTrue="1">
      <formula>OR(E2=1,$C1="")</formula>
    </cfRule>
    <cfRule type="expression" dxfId="8" priority="11" stopIfTrue="1">
      <formula>ISNUMBER(VALUE($C1))</formula>
    </cfRule>
  </conditionalFormatting>
  <conditionalFormatting sqref="F1:AT1">
    <cfRule type="expression" dxfId="7" priority="13" stopIfTrue="1">
      <formula>OR(E1=1,$C1="")</formula>
    </cfRule>
    <cfRule type="expression" dxfId="6" priority="14" stopIfTrue="1">
      <formula>ISNUMBER(VALUE($C1))</formula>
    </cfRule>
  </conditionalFormatting>
  <conditionalFormatting sqref="C37:E37">
    <cfRule type="expression" dxfId="5" priority="2" stopIfTrue="1">
      <formula>$C37=""</formula>
    </cfRule>
    <cfRule type="expression" dxfId="4" priority="5" stopIfTrue="1">
      <formula>ISNUMBER(VALUE($C37))</formula>
    </cfRule>
  </conditionalFormatting>
  <conditionalFormatting sqref="F38:AT38">
    <cfRule type="expression" dxfId="3" priority="3" stopIfTrue="1">
      <formula>OR(E38=1,$C37="")</formula>
    </cfRule>
    <cfRule type="expression" dxfId="2" priority="4" stopIfTrue="1">
      <formula>ISNUMBER(VALUE($C37))</formula>
    </cfRule>
  </conditionalFormatting>
  <conditionalFormatting sqref="F37:AT37">
    <cfRule type="expression" dxfId="1" priority="6" stopIfTrue="1">
      <formula>OR(E37=1,$C37="")</formula>
    </cfRule>
    <cfRule type="expression" dxfId="0" priority="7" stopIfTrue="1">
      <formula>ISNUMBER(VALUE($C37))</formula>
    </cfRule>
  </conditionalFormatting>
  <dataValidations count="1">
    <dataValidation type="textLength" operator="lessThan" allowBlank="1" showInputMessage="1" showErrorMessage="1" errorTitle="Preenchimento Incorreto" error="Metas não permitem entrada de %._x000a_Macrosserviços permitem entrada de % com até 2 casas decimais." sqref="G1:AT2 G15:AT38">
      <formula1>IF(ISNUMBER(VALUE($C1048576)),0,7)</formula1>
    </dataValidation>
  </dataValidations>
  <pageMargins left="0.39370078740157483" right="0.39370078740157483" top="0.78740157480314965" bottom="0.78740157480314965" header="0" footer="0"/>
  <pageSetup paperSize="9" scale="70" firstPageNumber="4" fitToWidth="0" fitToHeight="0" pageOrder="overThenDown" orientation="landscape" useFirstPageNumber="1" errors="dash" horizontalDpi="1200" verticalDpi="1200" r:id="rId1"/>
  <headerFooter>
    <oddFooter>&amp;L27.476 v001  micro&amp;R&amp;P</oddFooter>
  </headerFooter>
  <drawing r:id="rId2"/>
  <legacyDrawing r:id="rId3"/>
  <oleObjects>
    <mc:AlternateContent xmlns:mc="http://schemas.openxmlformats.org/markup-compatibility/2006">
      <mc:Choice Requires="x14">
        <oleObject shapeId="41835" r:id="rId4">
          <objectPr defaultSize="0" autoPict="0" r:id="rId5">
            <anchor moveWithCells="1">
              <from>
                <xdr:col>2</xdr:col>
                <xdr:colOff>57150</xdr:colOff>
                <xdr:row>3</xdr:row>
                <xdr:rowOff>38100</xdr:rowOff>
              </from>
              <to>
                <xdr:col>3</xdr:col>
                <xdr:colOff>1409700</xdr:colOff>
                <xdr:row>5</xdr:row>
                <xdr:rowOff>95250</xdr:rowOff>
              </to>
            </anchor>
          </objectPr>
        </oleObject>
      </mc:Choice>
      <mc:Fallback>
        <oleObject shapeId="41835"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69</vt:i4>
      </vt:variant>
    </vt:vector>
  </HeadingPairs>
  <TitlesOfParts>
    <vt:vector size="74" baseType="lpstr">
      <vt:lpstr>DADOS</vt:lpstr>
      <vt:lpstr>BDI (1)</vt:lpstr>
      <vt:lpstr>PO</vt:lpstr>
      <vt:lpstr>PLQ</vt:lpstr>
      <vt:lpstr>CFF</vt:lpstr>
      <vt:lpstr>'BDI (1)'!Area_de_impressao</vt:lpstr>
      <vt:lpstr>DADOS!Area_de_impressao</vt:lpstr>
      <vt:lpstr>PO!Area_de_impressao</vt:lpstr>
      <vt:lpstr>CFF.Col.Item</vt:lpstr>
      <vt:lpstr>CFF.Dados</vt:lpstr>
      <vt:lpstr>CFF.LinhaPadrão</vt:lpstr>
      <vt:lpstr>CFF.ultima.linha</vt:lpstr>
      <vt:lpstr>Dados.Lista.Acompanhamento</vt:lpstr>
      <vt:lpstr>Dados.Lista.BDI</vt:lpstr>
      <vt:lpstr>Dados.Lista.Localidade</vt:lpstr>
      <vt:lpstr>Dados.Lista.RegimeExecução</vt:lpstr>
      <vt:lpstr>Dados.Lista.TipoOrç</vt:lpstr>
      <vt:lpstr>Dados.Lista.TítuloProf</vt:lpstr>
      <vt:lpstr>Import.Ação</vt:lpstr>
      <vt:lpstr>Import.BDI</vt:lpstr>
      <vt:lpstr>Import.CNPJ</vt:lpstr>
      <vt:lpstr>Import.Código</vt:lpstr>
      <vt:lpstr>Import.Convênio</vt:lpstr>
      <vt:lpstr>Import.CR</vt:lpstr>
      <vt:lpstr>Import.CTEF</vt:lpstr>
      <vt:lpstr>Import.CustoUnitário</vt:lpstr>
      <vt:lpstr>Import.DataAssinaturaCR</vt:lpstr>
      <vt:lpstr>Import.DataAssinaturaCTEF</vt:lpstr>
      <vt:lpstr>Import.DataInícioObra</vt:lpstr>
      <vt:lpstr>Import.Descrição</vt:lpstr>
      <vt:lpstr>Import.Empresa</vt:lpstr>
      <vt:lpstr>Import.Fonte</vt:lpstr>
      <vt:lpstr>Import.FrenteDeObra</vt:lpstr>
      <vt:lpstr>Import.Gestor</vt:lpstr>
      <vt:lpstr>Import.Gigov</vt:lpstr>
      <vt:lpstr>Import.Item</vt:lpstr>
      <vt:lpstr>Import.Localidade</vt:lpstr>
      <vt:lpstr>Import.Município</vt:lpstr>
      <vt:lpstr>Import.Nível</vt:lpstr>
      <vt:lpstr>Import.ObjetoCR</vt:lpstr>
      <vt:lpstr>Import.ObjetoCTEF</vt:lpstr>
      <vt:lpstr>Import.PLQ</vt:lpstr>
      <vt:lpstr>Import.PreçoTotal</vt:lpstr>
      <vt:lpstr>Import.PreçoUnitário</vt:lpstr>
      <vt:lpstr>Import.Programa</vt:lpstr>
      <vt:lpstr>Import.Proponente</vt:lpstr>
      <vt:lpstr>Import.Quantidade</vt:lpstr>
      <vt:lpstr>Import.RegimeExecução</vt:lpstr>
      <vt:lpstr>Import.Unidade</vt:lpstr>
      <vt:lpstr>Import.Vigência</vt:lpstr>
      <vt:lpstr>LinhaAssinaturas</vt:lpstr>
      <vt:lpstr>LinhaCabeçalho</vt:lpstr>
      <vt:lpstr>LinhaCabeçalhoDados</vt:lpstr>
      <vt:lpstr>LinhaEncargosSociais</vt:lpstr>
      <vt:lpstr>PLQ.Col.QTD</vt:lpstr>
      <vt:lpstr>PLQ.Dados</vt:lpstr>
      <vt:lpstr>PLQ.LinhaPadrão</vt:lpstr>
      <vt:lpstr>PLQ.ultima.linha</vt:lpstr>
      <vt:lpstr>PO.Col.BDI</vt:lpstr>
      <vt:lpstr>PO.Col.Descrição</vt:lpstr>
      <vt:lpstr>PO.Col.Nível</vt:lpstr>
      <vt:lpstr>PO.Col.QTD</vt:lpstr>
      <vt:lpstr>PO.Col.Tipo</vt:lpstr>
      <vt:lpstr>PO.Dados</vt:lpstr>
      <vt:lpstr>PO.I.Global</vt:lpstr>
      <vt:lpstr>PO.I.Lote</vt:lpstr>
      <vt:lpstr>PO.LinhaPadrão</vt:lpstr>
      <vt:lpstr>PO.Lista.Fonte</vt:lpstr>
      <vt:lpstr>PO.Unitarios</vt:lpstr>
      <vt:lpstr>PO.Unitarios.bkp1</vt:lpstr>
      <vt:lpstr>PO.Unitarios.bkp2</vt:lpstr>
      <vt:lpstr>CFF!Titulos_de_impressao</vt:lpstr>
      <vt:lpstr>PLQ!Titulos_de_impressao</vt:lpstr>
      <vt:lpstr>PO!Titulos_de_impressao</vt:lpstr>
    </vt:vector>
  </TitlesOfParts>
  <Company>caixa econômica federal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user05</dc:creator>
  <cp:lastModifiedBy>Engenharia</cp:lastModifiedBy>
  <cp:lastPrinted>2017-09-19T17:06:40Z</cp:lastPrinted>
  <dcterms:created xsi:type="dcterms:W3CDTF">1998-03-27T18:43:07Z</dcterms:created>
  <dcterms:modified xsi:type="dcterms:W3CDTF">2018-05-16T13:32:09Z</dcterms:modified>
</cp:coreProperties>
</file>