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635" tabRatio="831"/>
  </bookViews>
  <sheets>
    <sheet name="PLAN ORÇ" sheetId="6" r:id="rId1"/>
    <sheet name="CRON" sheetId="7" r:id="rId2"/>
    <sheet name="MM CALC" sheetId="21" r:id="rId3"/>
    <sheet name="COMP 1-TUBO" sheetId="59" r:id="rId4"/>
    <sheet name="COMP 2-CIMENTO QUEIMADO" sheetId="61" r:id="rId5"/>
    <sheet name="COMP 3-LUNINÁRIA SOLAR C POSTE" sheetId="58" r:id="rId6"/>
    <sheet name="MM CALC AUX-ÁREAS E PERÍMETROS" sheetId="52" r:id="rId7"/>
  </sheets>
  <externalReferences>
    <externalReference r:id="rId8"/>
  </externalReferences>
  <definedNames>
    <definedName name="_xlnm._FilterDatabase" localSheetId="3" hidden="1">'COMP 1-TUBO'!$A$9:$H$9</definedName>
    <definedName name="_xlnm._FilterDatabase" localSheetId="4" hidden="1">'COMP 2-CIMENTO QUEIMADO'!$A$9:$H$9</definedName>
    <definedName name="_xlnm._FilterDatabase" localSheetId="1" hidden="1">CRON!$A$9:$I$9</definedName>
    <definedName name="_xlnm._FilterDatabase" localSheetId="2" hidden="1">'MM CALC'!$A$7:$K$50</definedName>
    <definedName name="_xlnm._FilterDatabase" localSheetId="0" hidden="1">'PLAN ORÇ'!$A$11:$I$55</definedName>
    <definedName name="_xlnm.Print_Area" localSheetId="3">'COMP 1-TUBO'!$A$1:$H$24</definedName>
    <definedName name="_xlnm.Print_Area" localSheetId="4">'COMP 2-CIMENTO QUEIMADO'!$A$1:$H$22</definedName>
    <definedName name="_xlnm.Print_Area" localSheetId="5">'COMP 3-LUNINÁRIA SOLAR C POSTE'!$B$2:$J$70</definedName>
    <definedName name="_xlnm.Print_Area" localSheetId="1">CRON!$A$1:$G$33</definedName>
    <definedName name="_xlnm.Print_Area" localSheetId="2">'MM CALC'!$A$1:$G$61</definedName>
    <definedName name="_xlnm.Print_Area" localSheetId="6">'MM CALC AUX-ÁREAS E PERÍMETROS'!$B$2:$M$71</definedName>
    <definedName name="_xlnm.Print_Area" localSheetId="0">'PLAN ORÇ'!$A$1:$I$64</definedName>
    <definedName name="_xlnm.Database">TEXT([1]Dados!$G$29,"mm-aaaa")</definedName>
    <definedName name="Fonte" localSheetId="2">'MM CALC'!#REF!</definedName>
    <definedName name="Fonte">'PLAN ORÇ'!$I1</definedName>
    <definedName name="nao" localSheetId="2">#REF!</definedName>
    <definedName name="nao">#REF!</definedName>
    <definedName name="_xlnm.Print_Titles" localSheetId="2">'MM CALC'!$1:$7</definedName>
    <definedName name="_xlnm.Print_Titles" localSheetId="0">'PLAN ORÇ'!$1:$11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0" i="6" l="1"/>
  <c r="F47" i="21" l="1"/>
  <c r="F51" i="6" s="1"/>
  <c r="F44" i="21"/>
  <c r="F48" i="6" s="1"/>
  <c r="F43" i="21"/>
  <c r="F42" i="21"/>
  <c r="F41" i="21"/>
  <c r="F45" i="6" s="1"/>
  <c r="F40" i="21"/>
  <c r="F44" i="6" s="1"/>
  <c r="F25" i="21"/>
  <c r="F17" i="21"/>
  <c r="F16" i="21"/>
  <c r="F20" i="6" s="1"/>
  <c r="F15" i="21"/>
  <c r="F19" i="6" s="1"/>
  <c r="H66" i="58"/>
  <c r="H67" i="58"/>
  <c r="H65" i="58"/>
  <c r="E66" i="58"/>
  <c r="E67" i="58"/>
  <c r="E65" i="58"/>
  <c r="I22" i="58"/>
  <c r="G12" i="58"/>
  <c r="H12" i="58"/>
  <c r="K66" i="52"/>
  <c r="K67" i="52"/>
  <c r="K65" i="52"/>
  <c r="D66" i="52"/>
  <c r="D67" i="52"/>
  <c r="D65" i="52"/>
  <c r="G20" i="7"/>
  <c r="G18" i="7"/>
  <c r="G16" i="7"/>
  <c r="G14" i="7"/>
  <c r="G12" i="7"/>
  <c r="A14" i="6"/>
  <c r="A12" i="7" s="1"/>
  <c r="D14" i="6"/>
  <c r="B12" i="7" s="1"/>
  <c r="A15" i="6"/>
  <c r="B15" i="6"/>
  <c r="C15" i="6"/>
  <c r="D15" i="6"/>
  <c r="E15" i="6"/>
  <c r="A16" i="6"/>
  <c r="B16" i="6"/>
  <c r="C16" i="6"/>
  <c r="D16" i="6"/>
  <c r="E16" i="6"/>
  <c r="A17" i="6"/>
  <c r="B17" i="6"/>
  <c r="C17" i="6"/>
  <c r="D17" i="6"/>
  <c r="E17" i="6"/>
  <c r="A18" i="6"/>
  <c r="A14" i="7" s="1"/>
  <c r="D18" i="6"/>
  <c r="B14" i="7" s="1"/>
  <c r="A19" i="6"/>
  <c r="B19" i="6"/>
  <c r="C19" i="6"/>
  <c r="D19" i="6"/>
  <c r="E19" i="6"/>
  <c r="A20" i="6"/>
  <c r="B20" i="6"/>
  <c r="C20" i="6"/>
  <c r="D20" i="6"/>
  <c r="E20" i="6"/>
  <c r="A21" i="6"/>
  <c r="B21" i="6"/>
  <c r="C21" i="6"/>
  <c r="D21" i="6"/>
  <c r="E21" i="6"/>
  <c r="F21" i="6"/>
  <c r="A22" i="6"/>
  <c r="B22" i="6"/>
  <c r="C22" i="6"/>
  <c r="D22" i="6"/>
  <c r="E22" i="6"/>
  <c r="F22" i="6"/>
  <c r="A23" i="6"/>
  <c r="A16" i="7" s="1"/>
  <c r="D23" i="6"/>
  <c r="B16" i="7" s="1"/>
  <c r="A24" i="6"/>
  <c r="B24" i="6"/>
  <c r="C24" i="6"/>
  <c r="D24" i="6"/>
  <c r="E24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A28" i="6"/>
  <c r="B28" i="6"/>
  <c r="C28" i="6"/>
  <c r="D28" i="6"/>
  <c r="E28" i="6"/>
  <c r="A29" i="6"/>
  <c r="B29" i="6"/>
  <c r="C29" i="6"/>
  <c r="D29" i="6"/>
  <c r="E29" i="6"/>
  <c r="A30" i="6"/>
  <c r="B30" i="6"/>
  <c r="C30" i="6"/>
  <c r="D30" i="6"/>
  <c r="E30" i="6"/>
  <c r="A31" i="6"/>
  <c r="B31" i="6"/>
  <c r="C31" i="6"/>
  <c r="D31" i="6"/>
  <c r="E31" i="6"/>
  <c r="A32" i="6"/>
  <c r="B32" i="6"/>
  <c r="C32" i="6"/>
  <c r="D32" i="6"/>
  <c r="E32" i="6"/>
  <c r="A33" i="6"/>
  <c r="B33" i="6"/>
  <c r="C33" i="6"/>
  <c r="D33" i="6"/>
  <c r="E33" i="6"/>
  <c r="A34" i="6"/>
  <c r="A18" i="7" s="1"/>
  <c r="D34" i="6"/>
  <c r="B18" i="7" s="1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A39" i="6"/>
  <c r="B39" i="6"/>
  <c r="C39" i="6"/>
  <c r="D39" i="6"/>
  <c r="E39" i="6"/>
  <c r="F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A43" i="6"/>
  <c r="B43" i="6"/>
  <c r="C43" i="6"/>
  <c r="D43" i="6"/>
  <c r="E43" i="6"/>
  <c r="F43" i="6"/>
  <c r="A44" i="6"/>
  <c r="B44" i="6"/>
  <c r="C44" i="6"/>
  <c r="D44" i="6"/>
  <c r="E44" i="6"/>
  <c r="A45" i="6"/>
  <c r="B45" i="6"/>
  <c r="C45" i="6"/>
  <c r="D45" i="6"/>
  <c r="E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A49" i="6"/>
  <c r="B49" i="6"/>
  <c r="C49" i="6"/>
  <c r="D49" i="6"/>
  <c r="E49" i="6"/>
  <c r="F49" i="6"/>
  <c r="A50" i="6"/>
  <c r="B50" i="6"/>
  <c r="C50" i="6"/>
  <c r="D50" i="6"/>
  <c r="E50" i="6"/>
  <c r="A51" i="6"/>
  <c r="B51" i="6"/>
  <c r="C51" i="6"/>
  <c r="D51" i="6"/>
  <c r="E51" i="6"/>
  <c r="A52" i="6"/>
  <c r="A20" i="7" s="1"/>
  <c r="D52" i="6"/>
  <c r="B20" i="7" s="1"/>
  <c r="A53" i="6"/>
  <c r="B53" i="6"/>
  <c r="C53" i="6"/>
  <c r="D53" i="6"/>
  <c r="E53" i="6"/>
  <c r="F53" i="6"/>
  <c r="A54" i="6"/>
  <c r="F54" i="6"/>
  <c r="G48" i="6"/>
  <c r="E44" i="21"/>
  <c r="C44" i="21"/>
  <c r="D44" i="21"/>
  <c r="B44" i="21"/>
  <c r="H10" i="61"/>
  <c r="H12" i="61"/>
  <c r="H11" i="61"/>
  <c r="H13" i="61"/>
  <c r="E21" i="61"/>
  <c r="C21" i="61"/>
  <c r="E20" i="61"/>
  <c r="C20" i="61"/>
  <c r="E19" i="61"/>
  <c r="C19" i="61"/>
  <c r="A4" i="61"/>
  <c r="A3" i="61"/>
  <c r="A2" i="61"/>
  <c r="A1" i="61"/>
  <c r="F45" i="21" l="1"/>
  <c r="F46" i="21" s="1"/>
  <c r="F50" i="6" s="1"/>
  <c r="F32" i="21" l="1"/>
  <c r="F31" i="21"/>
  <c r="F21" i="21" l="1"/>
  <c r="F22" i="21"/>
  <c r="F39" i="21"/>
  <c r="H37" i="6"/>
  <c r="H36" i="6"/>
  <c r="F33" i="21"/>
  <c r="F36" i="21" l="1"/>
  <c r="I36" i="6"/>
  <c r="I37" i="6"/>
  <c r="F37" i="21" l="1"/>
  <c r="F40" i="6"/>
  <c r="F38" i="21" l="1"/>
  <c r="F42" i="6" s="1"/>
  <c r="F41" i="6"/>
  <c r="G46" i="6"/>
  <c r="H46" i="6" s="1"/>
  <c r="H47" i="6"/>
  <c r="H45" i="6"/>
  <c r="H44" i="6"/>
  <c r="I44" i="6" l="1"/>
  <c r="I45" i="6"/>
  <c r="I47" i="6"/>
  <c r="H38" i="6"/>
  <c r="F35" i="21"/>
  <c r="F34" i="21" s="1"/>
  <c r="F38" i="6" s="1"/>
  <c r="F29" i="6"/>
  <c r="E50" i="21"/>
  <c r="E54" i="6" s="1"/>
  <c r="C50" i="21"/>
  <c r="C54" i="6" s="1"/>
  <c r="D50" i="21"/>
  <c r="D54" i="6" s="1"/>
  <c r="B50" i="21"/>
  <c r="B54" i="6" s="1"/>
  <c r="H53" i="6"/>
  <c r="H51" i="6"/>
  <c r="H50" i="6"/>
  <c r="H49" i="6"/>
  <c r="H48" i="6"/>
  <c r="H43" i="6"/>
  <c r="H42" i="6"/>
  <c r="H41" i="6"/>
  <c r="H40" i="6"/>
  <c r="H39" i="6"/>
  <c r="H35" i="6"/>
  <c r="H33" i="6"/>
  <c r="H32" i="6"/>
  <c r="H31" i="6"/>
  <c r="H30" i="6"/>
  <c r="H29" i="6"/>
  <c r="H28" i="6"/>
  <c r="H27" i="6"/>
  <c r="H26" i="6"/>
  <c r="H25" i="6"/>
  <c r="H24" i="6"/>
  <c r="H22" i="6"/>
  <c r="H21" i="6"/>
  <c r="H20" i="6"/>
  <c r="H19" i="6"/>
  <c r="H17" i="6"/>
  <c r="H16" i="6"/>
  <c r="H15" i="6"/>
  <c r="I46" i="6"/>
  <c r="E42" i="21"/>
  <c r="C42" i="21"/>
  <c r="D42" i="21"/>
  <c r="B42" i="21"/>
  <c r="E22" i="59"/>
  <c r="E23" i="59"/>
  <c r="E21" i="59"/>
  <c r="C22" i="59"/>
  <c r="C23" i="59"/>
  <c r="C21" i="59"/>
  <c r="H13" i="59"/>
  <c r="H12" i="59"/>
  <c r="F12" i="59"/>
  <c r="F11" i="59"/>
  <c r="H11" i="59" s="1"/>
  <c r="A4" i="59"/>
  <c r="A2" i="59"/>
  <c r="A3" i="59"/>
  <c r="A1" i="59"/>
  <c r="H14" i="59"/>
  <c r="H10" i="59"/>
  <c r="H2" i="58"/>
  <c r="I12" i="58"/>
  <c r="J12" i="58" s="1"/>
  <c r="G18" i="58"/>
  <c r="I18" i="58" s="1"/>
  <c r="B5" i="58"/>
  <c r="B3" i="58"/>
  <c r="B4" i="58"/>
  <c r="B2" i="58"/>
  <c r="I21" i="58"/>
  <c r="I20" i="58"/>
  <c r="E19" i="58"/>
  <c r="I17" i="58"/>
  <c r="I16" i="58"/>
  <c r="I38" i="6" l="1"/>
  <c r="I53" i="6"/>
  <c r="I22" i="6"/>
  <c r="I49" i="6"/>
  <c r="I25" i="6"/>
  <c r="I29" i="6"/>
  <c r="I50" i="6"/>
  <c r="I26" i="6"/>
  <c r="I51" i="6"/>
  <c r="H15" i="59"/>
  <c r="H19" i="58"/>
  <c r="I19" i="58" s="1"/>
  <c r="G54" i="6" s="1"/>
  <c r="H54" i="6" s="1"/>
  <c r="I54" i="6" s="1"/>
  <c r="I52" i="6" l="1"/>
  <c r="C21" i="7" s="1"/>
  <c r="I43" i="6"/>
  <c r="F21" i="7" l="1"/>
  <c r="E21" i="7"/>
  <c r="I39" i="6"/>
  <c r="I35" i="6"/>
  <c r="M43" i="52"/>
  <c r="M42" i="52"/>
  <c r="F28" i="21" s="1"/>
  <c r="F43" i="52"/>
  <c r="F23" i="21" s="1"/>
  <c r="F42" i="52"/>
  <c r="F58" i="52"/>
  <c r="F27" i="6" l="1"/>
  <c r="I27" i="6" s="1"/>
  <c r="F24" i="21"/>
  <c r="F28" i="6" s="1"/>
  <c r="F32" i="6"/>
  <c r="I32" i="6" s="1"/>
  <c r="F29" i="21"/>
  <c r="F27" i="21"/>
  <c r="F20" i="21"/>
  <c r="I48" i="6"/>
  <c r="F26" i="21"/>
  <c r="F30" i="6" l="1"/>
  <c r="I30" i="6" s="1"/>
  <c r="F33" i="6"/>
  <c r="I33" i="6" s="1"/>
  <c r="F31" i="6"/>
  <c r="I31" i="6" s="1"/>
  <c r="F24" i="6"/>
  <c r="I24" i="6" s="1"/>
  <c r="I28" i="6"/>
  <c r="I40" i="6"/>
  <c r="I23" i="6" l="1"/>
  <c r="C17" i="7" s="1"/>
  <c r="F17" i="7" s="1"/>
  <c r="I42" i="6"/>
  <c r="I41" i="6"/>
  <c r="I34" i="6" l="1"/>
  <c r="C19" i="7" s="1"/>
  <c r="F19" i="7" s="1"/>
  <c r="F23" i="7" s="1"/>
  <c r="E17" i="7"/>
  <c r="D17" i="7"/>
  <c r="I20" i="6"/>
  <c r="I21" i="6"/>
  <c r="D19" i="7" l="1"/>
  <c r="E19" i="7"/>
  <c r="E23" i="7" s="1"/>
  <c r="I19" i="6"/>
  <c r="I18" i="6" s="1"/>
  <c r="C15" i="7" s="1"/>
  <c r="D15" i="7" s="1"/>
  <c r="M24" i="52" l="1"/>
  <c r="F12" i="21" s="1"/>
  <c r="M23" i="52"/>
  <c r="F11" i="21" s="1"/>
  <c r="F24" i="52"/>
  <c r="F23" i="52"/>
  <c r="B3" i="52"/>
  <c r="B4" i="52"/>
  <c r="K2" i="52"/>
  <c r="B2" i="52"/>
  <c r="F15" i="6" l="1"/>
  <c r="I15" i="6" s="1"/>
  <c r="F16" i="6"/>
  <c r="I16" i="6" s="1"/>
  <c r="F13" i="21"/>
  <c r="F17" i="6" l="1"/>
  <c r="I17" i="6" s="1"/>
  <c r="I14" i="6" s="1"/>
  <c r="C13" i="7" s="1"/>
  <c r="D13" i="7" s="1"/>
  <c r="H13" i="6" l="1"/>
  <c r="G10" i="7" l="1"/>
  <c r="E31" i="7"/>
  <c r="E32" i="7"/>
  <c r="E30" i="7"/>
  <c r="B31" i="7"/>
  <c r="B32" i="7"/>
  <c r="B30" i="7"/>
  <c r="G62" i="6"/>
  <c r="G63" i="6"/>
  <c r="G61" i="6"/>
  <c r="C62" i="6"/>
  <c r="C63" i="6"/>
  <c r="C61" i="6"/>
  <c r="B13" i="6" l="1"/>
  <c r="F13" i="6" l="1"/>
  <c r="I13" i="6" l="1"/>
  <c r="I12" i="6" s="1"/>
  <c r="C11" i="7" s="1"/>
  <c r="A13" i="6"/>
  <c r="E13" i="6"/>
  <c r="D13" i="6"/>
  <c r="C13" i="6"/>
  <c r="C23" i="7" l="1"/>
  <c r="G21" i="7"/>
  <c r="I55" i="6"/>
  <c r="A12" i="6"/>
  <c r="A10" i="7" s="1"/>
  <c r="D12" i="6"/>
  <c r="B10" i="7" s="1"/>
  <c r="D5" i="7" l="1"/>
  <c r="K57" i="6"/>
  <c r="K58" i="6" s="1"/>
  <c r="F22" i="7"/>
  <c r="E22" i="7"/>
  <c r="C20" i="7"/>
  <c r="G19" i="7"/>
  <c r="G13" i="7"/>
  <c r="G17" i="7"/>
  <c r="G15" i="7"/>
  <c r="D11" i="7"/>
  <c r="D23" i="7" l="1"/>
  <c r="C10" i="7"/>
  <c r="C12" i="7"/>
  <c r="C14" i="7"/>
  <c r="C16" i="7"/>
  <c r="C18" i="7"/>
  <c r="G11" i="7"/>
  <c r="G23" i="7" l="1"/>
  <c r="D22" i="7"/>
  <c r="G22" i="7" s="1"/>
  <c r="C22" i="7"/>
  <c r="A6" i="7"/>
  <c r="E5" i="6" l="1"/>
  <c r="F5" i="7" l="1"/>
  <c r="A7" i="6" l="1"/>
  <c r="A6" i="6"/>
  <c r="A5" i="6"/>
  <c r="A7" i="7"/>
  <c r="A5" i="7" l="1"/>
</calcChain>
</file>

<file path=xl/sharedStrings.xml><?xml version="1.0" encoding="utf-8"?>
<sst xmlns="http://schemas.openxmlformats.org/spreadsheetml/2006/main" count="473" uniqueCount="275">
  <si>
    <t>ITEM</t>
  </si>
  <si>
    <t>DESCRIÇÃO</t>
  </si>
  <si>
    <t>CÓDIGO</t>
  </si>
  <si>
    <t>DIRETA</t>
  </si>
  <si>
    <t>INDIRETA</t>
  </si>
  <si>
    <t>(    )</t>
  </si>
  <si>
    <t>QUANT.</t>
  </si>
  <si>
    <t>TOTAL</t>
  </si>
  <si>
    <t>FONTE</t>
  </si>
  <si>
    <t>VALOR TOTAL:</t>
  </si>
  <si>
    <t>(  X  )</t>
  </si>
  <si>
    <t xml:space="preserve">FORMA DE
EXECUÇÃO: </t>
  </si>
  <si>
    <t>UNITÁRIO
 S/ BDI</t>
  </si>
  <si>
    <t>UNITÁRIO
C/ BDI</t>
  </si>
  <si>
    <t>FÓRMULA/MEMÓRIA</t>
  </si>
  <si>
    <t>MÊS 01</t>
  </si>
  <si>
    <t>MÊS 02</t>
  </si>
  <si>
    <t>MÊS 03</t>
  </si>
  <si>
    <t xml:space="preserve">BDI = </t>
  </si>
  <si>
    <t>FÍSICO/
FINANCEIRO</t>
  </si>
  <si>
    <t>PLANILHA ORÇAMENTÁRIA DE CUSTOS</t>
  </si>
  <si>
    <t>MEMÓRIA DE CÁLCULO DE QUANTITATIVOS</t>
  </si>
  <si>
    <t>CRONOGRAMA FÍSICO-FINANCEIRO</t>
  </si>
  <si>
    <t>CONTRAPARTIDA</t>
  </si>
  <si>
    <t>VALOR DA INDICAÇÃO</t>
  </si>
  <si>
    <t>1.1</t>
  </si>
  <si>
    <t>UNIDADE</t>
  </si>
  <si>
    <t>SEINFRA</t>
  </si>
  <si>
    <t>___________________________________________</t>
  </si>
  <si>
    <t>UNIDADE.</t>
  </si>
  <si>
    <t>FORNECIMENTO E COLOCAÇÃO DE PLACA DE OBRA EM CHAPA GALVANIZADA (3,00 X 1,5 0 M) - EM CHAPA GALVANIZADA 0,26 AFIXADAS COM REBITES 540 E PARAFUSOS 3/8, EM ESTRUTURA METÁLICA VIGA U 2" ENRIJECIDA COM METALON 20 X 20, SUPORTE EM EUCALIPTO AUTOCLAVADO PINTADAS</t>
  </si>
  <si>
    <t>TIPO</t>
  </si>
  <si>
    <t>m</t>
  </si>
  <si>
    <t>kg</t>
  </si>
  <si>
    <t>conforme padrão exigido</t>
  </si>
  <si>
    <t>un</t>
  </si>
  <si>
    <t>ED-50152</t>
  </si>
  <si>
    <t>COMPOSIÇÃO</t>
  </si>
  <si>
    <t>ED-50367</t>
  </si>
  <si>
    <t>SERVENTE COM ENCARGOS COMPLEMENTARES</t>
  </si>
  <si>
    <t>H</t>
  </si>
  <si>
    <t>SINAPI</t>
  </si>
  <si>
    <t>PREÇO
UNITÁRIO</t>
  </si>
  <si>
    <t>PREÇO
TOTAL</t>
  </si>
  <si>
    <t>SERV.</t>
  </si>
  <si>
    <t>COMPOSIÇÃO DE CUSTO UNITÁRIO</t>
  </si>
  <si>
    <t>001</t>
  </si>
  <si>
    <t>1% Contrapartida mínima</t>
  </si>
  <si>
    <t>PREFEITURA MUNICIPAL DE CONCEIÇÃO DO RIO VERDE</t>
  </si>
  <si>
    <t>OBRA: CONSTRUÇÃO DE PRAÇA PÚBLICA</t>
  </si>
  <si>
    <t>LOCAL: RUA CORONEL JOSÉ BERNARDINHO DE OLIVEIRA, S/N, BAIRRO MATADOURO, CONCEIÇÃO DO RIO VERDE/MG</t>
  </si>
  <si>
    <t>Prefeito Municipal de Conceição do Rio Verde</t>
  </si>
  <si>
    <t>Wanderson Soares da Silva</t>
  </si>
  <si>
    <t>Engenheiro Civil - CREA/SP nº  5069777653/D</t>
  </si>
  <si>
    <t>Pedro Paulo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</si>
  <si>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</si>
  <si>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</si>
  <si>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</si>
  <si>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</si>
  <si>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</si>
  <si>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</si>
  <si>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</si>
  <si>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</si>
  <si>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</si>
  <si>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</si>
  <si>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</si>
  <si>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</si>
  <si>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</si>
  <si>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</si>
  <si>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</si>
  <si>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</si>
  <si>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</si>
  <si>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</si>
  <si>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</si>
  <si>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</si>
  <si>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</si>
  <si>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</si>
  <si>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</si>
  <si>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</si>
  <si>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</si>
  <si>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</si>
  <si>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</si>
  <si>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</si>
  <si>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</si>
  <si>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ED-49572</t>
  </si>
  <si>
    <t>ED-49814</t>
  </si>
  <si>
    <t>92540</t>
  </si>
  <si>
    <t>94198</t>
  </si>
  <si>
    <t>COTAÇÃO</t>
  </si>
  <si>
    <t>ED-15449</t>
  </si>
  <si>
    <t>SERVIÇOS PRELIMINARES</t>
  </si>
  <si>
    <t>CALÇADAS</t>
  </si>
  <si>
    <t>QUADRA VOLEI DE AREIA 8 X 16</t>
  </si>
  <si>
    <t>LASTRO DE AREIA</t>
  </si>
  <si>
    <t>QUIOSQUES</t>
  </si>
  <si>
    <t>TRAMA DE MADEIRA COMPOSTA POR RIPAS, CAIBROS E TERÇAS PARA TELHADOS DE MAIS QUE 2 ÁGUAS PARA TELHA DE ENCAIXE DE CERÂMICA OU DE CONCRETO, INCLUSO TRANSPORTE VERTICAL. AF_07/2019</t>
  </si>
  <si>
    <t>TELHAMENTO COM TELHA CERÂMICA DE ENCAIXE, TIPO PORTUGUESA, COM MAIS DE 2 ÁGUAS, INCLUSO TRANSPORTE VERTICAL. AF_07/2019</t>
  </si>
  <si>
    <t>PISTA DE SKATE</t>
  </si>
  <si>
    <t>ALVENARIA DE BLOCO DE CONCRETO CHEIO COM ARMAÇÃO, EM CONCRETO COM FCK 15MPA , ESP. 14CM, PARA REVESTIMENTO, INCLUSIVE ARGAMASSA PARA ASSENTAMENTO (DETALHE D - CADERNO SEDS)</t>
  </si>
  <si>
    <t>BANCO EM CONCRETO APARENTE, SEM ENCOSTO, POLIDO COM ACABAMENTO EM VERNIZ, ESP. 8CM, COMPRIMENTO 200CM, LARGURA 40CM, ALTURA 55CM, EXCLUSIVE FIXAÇÃO EM PISO</t>
  </si>
  <si>
    <t>Unid.</t>
  </si>
  <si>
    <t>M²</t>
  </si>
  <si>
    <t>m²</t>
  </si>
  <si>
    <t>ISS
3,00%</t>
  </si>
  <si>
    <t>item alterado/sugerido pois o proposto era de obra RO</t>
  </si>
  <si>
    <t>00005052</t>
  </si>
  <si>
    <t>00007696</t>
  </si>
  <si>
    <t>ED-51107</t>
  </si>
  <si>
    <t>ESCAVAÇÃO MANUAL DE VALAS H &lt;= 1,50 M</t>
  </si>
  <si>
    <t>Perímetro total da área de intervenção (m) =</t>
  </si>
  <si>
    <r>
      <t>Área total de intervenção (m</t>
    </r>
    <r>
      <rPr>
        <sz val="10"/>
        <rFont val="Calibri"/>
        <family val="2"/>
      </rPr>
      <t>²</t>
    </r>
    <r>
      <rPr>
        <sz val="10"/>
        <rFont val="Arial"/>
        <family val="2"/>
      </rPr>
      <t>) =</t>
    </r>
  </si>
  <si>
    <r>
      <t>m</t>
    </r>
    <r>
      <rPr>
        <sz val="10"/>
        <rFont val="Calibri"/>
        <family val="2"/>
      </rPr>
      <t>³</t>
    </r>
  </si>
  <si>
    <t>ED-51110</t>
  </si>
  <si>
    <t>ESCAVAÇÃO MANUAL DE TERRA (DESATERRO MANUAL)</t>
  </si>
  <si>
    <t>16,00 X 8,00 X 0,15 - comprimento X largura da quadra de areia X altura de solo a remover conforme projeto</t>
  </si>
  <si>
    <t>(16,00 + 8,00) X 2,00 - perímetro da quadra de areia conforme projeto</t>
  </si>
  <si>
    <t>ED-51120</t>
  </si>
  <si>
    <t>REATERRO MANUAL DE VALA</t>
  </si>
  <si>
    <t>m³</t>
  </si>
  <si>
    <t>ED-51123</t>
  </si>
  <si>
    <t>REGULARIZAÇÃO E COMPACTAÇÃO DE TERRENO COM PLACA VIBRATÓRIA</t>
  </si>
  <si>
    <r>
      <t>m</t>
    </r>
    <r>
      <rPr>
        <sz val="10"/>
        <rFont val="Calibri"/>
        <family val="2"/>
      </rPr>
      <t>²</t>
    </r>
  </si>
  <si>
    <t>Área total de passeio interno =</t>
  </si>
  <si>
    <t>Perímetro total de passeio interno =</t>
  </si>
  <si>
    <t>Área do piso do quiosque =</t>
  </si>
  <si>
    <t>Área do piso da rampa do quiosque =</t>
  </si>
  <si>
    <t>ED-50860</t>
  </si>
  <si>
    <t>CINTA ARMADA EM CONCRETO 20 MPA, INCLUSIVE LASTRO 5 CM EM CONCRETO MAGRO 9 MPA, FORMAS LATERAIS E DESFORMA.</t>
  </si>
  <si>
    <t>ED-50859</t>
  </si>
  <si>
    <t>BLOCO ARMADO EM CONCRETO 20 MPA, INCLUSIVE LASTRO 5 CM EM CONCRETO MAGRO 9 MPA, FORMAS LATERAIS E DESFORMA.</t>
  </si>
  <si>
    <t>Extensão no eixo das cintas de fundação do quiosque =</t>
  </si>
  <si>
    <t>ED-50842</t>
  </si>
  <si>
    <t>PILAR EM CONCRETO APARENTE 20 MPA, INCLUSIVE ARMAÇÃO, FORMA PLASTIFICADA E DESFORMA</t>
  </si>
  <si>
    <t>ED-50568</t>
  </si>
  <si>
    <t>CONTRAPISO DESEMPENADO COM ARGAMASSA, TRAÇO 1:3 (CIMENTO E AREIA), ESP. 30MM</t>
  </si>
  <si>
    <t>(29,88 + 4,44) X 2,00 - área de piso do quiosque + área da rampa do quiosque X quantidade de quiosques conforme projeto</t>
  </si>
  <si>
    <t>Área da cobertura do quiosque =</t>
  </si>
  <si>
    <t>Perímetro da cobertura do quiosque =</t>
  </si>
  <si>
    <t>41,11 X 2,00 - área da cobertura do quiosque X quantidade de quiosques conforme projeto e memória de cálculo auxiliar</t>
  </si>
  <si>
    <t>REDE DE VÔLEI COM MASTRO EM TUBO GALVANIZADO SEM PEDESTAL</t>
  </si>
  <si>
    <t>ED-51105</t>
  </si>
  <si>
    <t>ESCAVAÇÃO E CARGA MECANIZADA EM MATERIAL DE 1ª CATEGORIA</t>
  </si>
  <si>
    <t>ED-51128</t>
  </si>
  <si>
    <t>TRANSPORTE DE MATERIAL DE QUALQUER NATUREZA EM CAMINHÃO 1 KM &lt; DMT &lt;= 2 KM (DENTRO DO PERÍMETRO URBANO)</t>
  </si>
  <si>
    <t>ED-51096</t>
  </si>
  <si>
    <t>ATERRO COMPACTADO COM PLACA VIBRATÓRIA</t>
  </si>
  <si>
    <t>COMPOSIÇÕES DE CUSTOS</t>
  </si>
  <si>
    <t>COTAÇÕES</t>
  </si>
  <si>
    <t>MÉDIA
ARITMÉTICA</t>
  </si>
  <si>
    <t>PREÇO
ADOTADO</t>
  </si>
  <si>
    <t>CASAS BAHIA</t>
  </si>
  <si>
    <t>cj</t>
  </si>
  <si>
    <t>ÍNDICE/
CONSUMO</t>
  </si>
  <si>
    <t>ED-49748</t>
  </si>
  <si>
    <t>PERFURAÇÃO DE ESTACA BROCA A TRADO MANUAL D = 250 MM</t>
  </si>
  <si>
    <t>MAT.</t>
  </si>
  <si>
    <t>ED-49784</t>
  </si>
  <si>
    <t>FORNECIMENTO DE CONCRETO NÃO ESTRUTURAL, PREPARADO EM OBRA COM BETONEIRA, COM FCK 15 MPA, INCLUSIVE LANÇAMENTO, ADENSAMENTO E ACABAMENTO (FUNDAÇÃO)</t>
  </si>
  <si>
    <t>-</t>
  </si>
  <si>
    <t>ED-50362</t>
  </si>
  <si>
    <t>AJUDANTE DE ELETRICISTA COM ENCARGOS COMPLEMENTARES</t>
  </si>
  <si>
    <t>ED-50373</t>
  </si>
  <si>
    <t>ELETRICISTA COM ENCARGOS COMPLEMENTARES</t>
  </si>
  <si>
    <r>
      <t>m</t>
    </r>
    <r>
      <rPr>
        <sz val="8"/>
        <rFont val="Calibri"/>
        <family val="2"/>
      </rPr>
      <t>³</t>
    </r>
  </si>
  <si>
    <t>SUBMARINO</t>
  </si>
  <si>
    <t>LUMINÁRIA SOLAR PARA ILUMINAÇÃO PÚBLICA LED 150W PARA POSTE (INCLUSIVE FRETE)</t>
  </si>
  <si>
    <t>RCA
LÂMPADAS</t>
  </si>
  <si>
    <t>002</t>
  </si>
  <si>
    <t>ED-50381</t>
  </si>
  <si>
    <t>PEDREIRO COM ENCARGOS COMPLEMENTARES</t>
  </si>
  <si>
    <t>00000566</t>
  </si>
  <si>
    <t>BARRA DE FERRO CHATO, RETANGULAR, 19,05 MM X 3,17 MM (L X E), 0,47 KG/M</t>
  </si>
  <si>
    <t>98746</t>
  </si>
  <si>
    <t>SOLDA DE TOPO EM CHAPA/PERFIL/TUBO DE AÇO CHANFRADO, ESPESSURA=1/4''. AF_06/2018</t>
  </si>
  <si>
    <t>TUBO AÇO GALVANIZADO COM COSTURA, CLASSE MEDIA, DN 2", E = *3,65* MM, PESO *5,10* KG/M (NBR 5580)</t>
  </si>
  <si>
    <t>FORNECIMENTO E INSTALAÇÃO DE TUBO DE AÇO GALVANIZADO COM COSTURA, DN 2", ESPESSURA MÍNIMA *3,65* MM, PESO *5,10* KG/M (NBR 5580) COM GRAPA DE FERRO CHATO RETANGULAR, 19,05 MM X 3,17 MM (L X E), 0,47 KG/M SODADA NO TUBO E NA ARMADURA DO RADIER CONFORME PROJETO, INCLUSIVE FORNECIMENTO DE TODOS OS MATERIAIS E SERVIÇOS</t>
  </si>
  <si>
    <t>REGIÃO/MÊS DE REFERÊNCIA: SEINFRA REGIÃO SUL JANEIRO/2021 COM DESONERAÇÃO E SINAPI MG MARÇO/2021 DESONERADO</t>
  </si>
  <si>
    <t>toda a área onde será executado passeio/calçada conforme projeto e memória de cálculo auxiliar</t>
  </si>
  <si>
    <t>todo o perímetro onde será executado passeio/calçada conforme projeto e memória de cálculo auxiliar</t>
  </si>
  <si>
    <t>área de passeio/calçada conforme projeto e memória de cálculo auxiliar</t>
  </si>
  <si>
    <t>6,00 X 4,00 - extensão X quantidade de tubos a instalar nas cristas, eixos "B", "D", "F" e "G" conforme projeto</t>
  </si>
  <si>
    <t>MOBILIÁRIO E ILUMINAÇÃO</t>
  </si>
  <si>
    <t>5.1</t>
  </si>
  <si>
    <t>6.1</t>
  </si>
  <si>
    <t>6.2</t>
  </si>
  <si>
    <t>ED-48213</t>
  </si>
  <si>
    <t>ED-50792</t>
  </si>
  <si>
    <t>GUARDA-CORPO - PADRÃO SEDS</t>
  </si>
  <si>
    <t>(3,1416 X 0,15 X 0,15) X 2,60 X 16,00 - área da seção X altura X quantidade total de pilares para os dois quiosques conforme projeto</t>
  </si>
  <si>
    <t>PISO CIMENTADO, TRAÇO 1:3 (CIMENTO E AREIA), ACABAMENTO LISO, ESPESSURA 2,0 CM, PREPARO MECÂNICO DA ARGAMASSA. AF_09/2020</t>
  </si>
  <si>
    <t>Adotado BDI "CONSTRUÇÃO DE EDIFÍCIOS" 1º QUARTIL = 20,34%, conforme Acórdão Nº 2622/13 - TCU</t>
  </si>
  <si>
    <t>ED-48219</t>
  </si>
  <si>
    <t>ALVENARIA DE BLOCO DE CONCRETO CHEIO SEM ARMAÇÃO, EM CONCRETO COM FCK DE 20MPA , ESP. 14CM, PARA REVESTIMENTO, INCLUSIVE ARGAMASSA PARA ASSENTAMENTO (DETALHE D - CADERNO SEDS)</t>
  </si>
  <si>
    <t>0,40 + X 1,50 X 6,00 - extensão X altura X quantidade de interseções de alvenarias longitudinais com transversais dos eixos "F", "G" e "H" conforme projeto +
+ 0,40 X 3,00 X 8,00 - extensão X altura X quantidade de interseções de alvenarias longitudinais com transversais dos eixos "A", "B", "D" e "E" conforme projeto +
+ 0,40 X 1,50 X 4,00 - extensão X altura X quantidade das alvenarias laterais nos pontos de interseção com os eixos "G" e "H" +
+ 0,40 X 1,50 X 4,00 - extensão X altura X quantidade das alvenarias laterais nos pontos de interseção com os eixos "E" e "F" +
+ 0,40 X 2,90 X 4,00 - extensão X altura X quantidade das alvenarias laterais nos pontos de interseção com os eixos "D" e "E" +
+ 0,40 X 2,90 X 4,00 - extensão X altura X quantidade das alvenarias laterais nos pontos de interseção com os eixos "A" e "B" +
+ 0,75 X 1,60 - alvenaria de apoio da escada conforme projeto</t>
  </si>
  <si>
    <t>ED-50273</t>
  </si>
  <si>
    <t>LOCAÇÃO DA OBRA (GABARITO)</t>
  </si>
  <si>
    <t>ED-49647</t>
  </si>
  <si>
    <t>FORMA E DESFORMA DE COMPENSADO PLASTIFICADO, ESP. 12MM, REAPROVEITAMENTO (5X), EXCLUSIVE ESCORAMENTO</t>
  </si>
  <si>
    <t>5.15</t>
  </si>
  <si>
    <t>5.16</t>
  </si>
  <si>
    <t>ED-48298</t>
  </si>
  <si>
    <t>CORTE, DOBRA E MONTAGEM DE AÇO CA-50/60</t>
  </si>
  <si>
    <t>ED-49637</t>
  </si>
  <si>
    <t>FORNECIMENTO DE CONCRETO ESTRUTURAL, USINADO BOMBEADO, COM FCK 20 MPA, INCLUSIVE LANÇAMENTO, ADENSAMENTO E ACABAMENTO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</si>
  <si>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</si>
  <si>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 xml:space="preserve">conforme projeto </t>
  </si>
  <si>
    <t>0,50 X 0,50 X 0,35 X 8,00 X 2,00 - comprimento X largura X altura X quantidade de blocos X quantidade de quiosques conforme projeto</t>
  </si>
  <si>
    <t>19,90 X 0,30 X 0,35 X 2,00 - comprimento X largura X altura X quantidade de cintas X quantidade de quiosques conforme projeto</t>
  </si>
  <si>
    <t>considerada escavação de 0,70 x 0,70 X 0,65 para blocos de 0,50 x 0,50 x 0,35 (CxLxA) e 0,50 x 0,35 para cintas de 0,30 x 0,35 (LxA). Favor verificar e consolidar as informações.</t>
  </si>
  <si>
    <t>0,70 X 0,70 X 0,65 X 8,00 X 2,00 - comprimento X largura X altura X quantidade de blocos X quantidade de quiosques conforme projeto +
+ (19,90 - 0,70 X 8,00) X 0,50 X 0,35 X 8,00 X 2,00 - extensão total deduzidos os blocos já escavados X largura X altura X quantidade de cintas X quantidade de quiosques conforme projeto e memória de cálculo auxiliar</t>
  </si>
  <si>
    <t>???</t>
  </si>
  <si>
    <t>item alterado/sugerido para item da planilha SEINFRA. Favor verificar e consolidar as informações.</t>
  </si>
  <si>
    <t>considerada seção dos blocos = 0,50 x 0,50 x 0,35. Favor verificar e consolidar as informações.</t>
  </si>
  <si>
    <t>considerada seção das cintas = 0,30 x 0,35 (LxA). Favor verificar e consolidar as informações.</t>
  </si>
  <si>
    <t>volume total de escavação deduzido o somatório dos volumes dos blocos e cintas de fundação</t>
  </si>
  <si>
    <t>quantitativo recalculado/revisado. Favor verificar e consolidar as informações.</t>
  </si>
  <si>
    <t>(26,50 X 2,00 + 5,70 X 11,00) X 0,30 X 0,90 - somatório dos comprimento das cintas/baldrames X largura X altura de escavação conforme projeto</t>
  </si>
  <si>
    <t>135,66 - (31,24 - 9,26) - total a aterrar deduzido o volume de material da escavação das fundações a ser utilizado no aterro sob o radier da pista de skate</t>
  </si>
  <si>
    <t>ARMADURA DE TELA DE AÇO CA-60 B SOLDADA TIPO Q-92 (DIÂMETRO DO FIO: 4,20 MM / DIMENSÕES DA TRAMA: 150 X 150 MM / TIPO DA MALHA: QUADRANGULAR)</t>
  </si>
  <si>
    <t>ED-48300</t>
  </si>
  <si>
    <t>(6,00 + (3,00 + 2,00 X 3,1416 X 2,00 / 4,00 + 3,50 + 2,00 X 3,1416 X 2,00 / 4,00 + 2,00 + 2,00 + 2,00 X 3,1416 X 3,00 / 4,00 + 4,00 + 2,00 X 3,1416 X 3,00 / 4,00 + 2,00) + 6,00) X 0,10 - somatório das extensões X altura do radier conforme projeto</t>
  </si>
  <si>
    <t>(3,00 X 1,50) X 5,70 - área da face X distância entre faces internas das alvenaria laterais entre os eixos "G" e "H" +
+ (2,00 X 1,50) X 5,70 - área da face X distância entre faces internas das alvenarias laterais entre os eixos "E" e "F" +
+ 2,00 X 2,90 X 5,70 - área da face X distância entre faces internas das alvenarias laterais entre os eixos "D" e "E" +
+ 2,00 X 2,90 X 5,70 - extensão X distância entre faces internas das alvenarias laterais entre os eixos "A" e "B" +
+ (0,60 + 0,60 + 1,70 + 1,80) X 5,70- somatório das áreas X distância entre faces internas das alvenarias laterais entre os eixos "B", "D", "F" e "G" e os pontos de tangência conforme projeto</t>
  </si>
  <si>
    <t xml:space="preserve">5,70 X 1,50 X 3,00 - extensão X altura X quantidade de alvenarias ao longo dos eixos "F", "G" e "H" conforme projeto +
+ 5,70 X 3,00 X 4,00 - extensão X altura X quantidade de alvenarias ao longo dos eixos "A", "B", "D" e "E" conforme projeto +
+ 5,70 X (0,35 + (0,45 X 3,00)) - extensão X altura X quantidade de alvenarias de apoio nos pontos de tangência e paralelas aos eixos conforme projeto +
+ 3,00 X 1,50 X 2,00 - extensão X altura X quantidade das alvenarias laterais entre os eixos "G" e "H" +
+ 2,00 X 1,50 X 2,00 - extensão X altura X quantidade das alvenarias laterais entre os eixos "E" e "F" +
+ 2,00 X 2,90 X 2,00 - extensão X altura X quantidade das alvenarias laterais entre os eixos "D" e "E" +
+ 2,00 X 2,90 X 2,00 - extensão X altura X quantidade das alvenarias laterais entre os eixos "A" e "B" +
+ (0,60 + 0,60 + 1,70 + 1,80) X 2,00 - somatório das áreas X quantidade de alvenarias laterais entre os eixos "B", "D", "F" e "G" e os pontos de tangência conforme projeto + 
+ 0,75 X 1,60 - alvenaria de apoio da escada conforme projeto - 
- 28,48 - somatório de alvenarias de blocos cheios com armação dos pontos de interseção de transversais com longitudinais deduzido do total de alvenaria de blocos conforme projeto </t>
  </si>
  <si>
    <t>ED-50762</t>
  </si>
  <si>
    <t>REVESTIMENTO COM ARGAMASSA EM CAMADA ÚNICA, APLICADO EM PAREDE, TRAÇO 1:3 (CIMENTO E AREIA), ESP. 20MM, APLICAÇÃO MANUAL, PREPARO MECÂNICO</t>
  </si>
  <si>
    <t>excluido o chapisco por não ser necessário sobre alvenaria de bloco. Item alterado/sugerido por entendermos ser mais adequado. Favor verificar e consolidar as informações.</t>
  </si>
  <si>
    <t>ED-50451</t>
  </si>
  <si>
    <t>PINTURA ACRÍLICA EM PAREDE, DUAS (2) DEMÃOS, EXCLUSIVE SELADOR ACRÍLICO E MASSA ACRÍLICA/CORRIDA (PVA)</t>
  </si>
  <si>
    <t>mesma área de revestimento com argamassa em camada única conforme projeto</t>
  </si>
  <si>
    <t>5,70 X 1,10 - extensão X altura da alvenaria lateral transversal da pista de skate conforme projeto +
3,00 X 1,10 X 2,00 - extensão X altura X quantidade das alvenarias laterais longitudinais da pista de skate entre os eixos "G" e "H" +
+ 2,00 X 1,10 X 2,00 - extensão X altura X quantidade das alvenarias laterais longitudinais da pista de skate entre os eixos "E" e "F" +
+ 2,00 X 2,60 X 2,00 - extensão X altura X quantidade das alvenarias laterais longitutinais da pista de skate entre os eixos "D" e "E" +
+ 2,00 X 2,60 X 2,00 - extensão X altura X quantidade das alvenarias laterais longitudinais da pista de skate entre os eixos "A" e "B" +
+ (0,60 + 0,60 + 1,70 + 1,80) X 2,00 - somatório das áreas X quantidade de alvenarias laterais longitudinais da pista de skate entre os eixos "B", "D", "F" e "G" e os pontos de tangência conforme projeto + 
+ 0,75 X 1,60 - alvenaria de apoio da escada da pista de skate conforme projeto +
+ 5,70 X 2,60 - extensão X altura da alvenaria lateral transversal da pista de skate conforme projeto</t>
  </si>
  <si>
    <t>(((26,50 + 25,90) / 2 + (6,30 + 5,70) / 2,00) X 2,00 + 5,70 X 9,00) X 4,00 X 0,617 X 1,04  - somatório dos comprimento dos baldrames X quantidade de ferros longitudinais X peso kg/m aço 10.0 X 1,04 de transpasse conforme projeto +
+ ((26,50 + 6,30) X 2,00 + 5,70 X 9,00) / 0,20 X 1,20 X 0,109  - somatório dos comprimento dos baldrames dividido pelo espaçamento X comprimento de cada estribo X peso kg/m aço 4.2 conforme projeto</t>
  </si>
  <si>
    <t>(26,50 X 2,00 + 5,70 X 11,00) X 0,30 X 0,40 - somatório dos comprimento X largura X altura dos baldrames conforme projeto</t>
  </si>
  <si>
    <t>31,24 - (13,88 + ((26,50 X 2,00 + 5,70 X 11,00) X 0,14 X 0,50)) - volume escavado deduzido o somatório dos volumes de concreto das cintas e das alvenarias de blocos enterrados conforme projeto</t>
  </si>
  <si>
    <t>ED-49639</t>
  </si>
  <si>
    <t>FORNECIMENTO DE CONCRETO ESTRUTURAL, USINADO BOMBEADO, COM FCK 30 MPA, INCLUSIVE LANÇAMENTO, ADENSAMENTO E ACABAMENTO</t>
  </si>
  <si>
    <t>(3,00 + 2,00 X 3,1416 X 2,00 / 4,00 + 3,50 + 2,00 X 3,1416 X 2,00 / 4,00 + 2,00 + 2,00 + 2,00 X 3,1416 X 3,00 / 4,00 + 4,00 + 2,00 X 3,1416 X 3,00 / 4,00 + 2,00) X 6,00 X 0,10 - somatório das extensões X largura da pista X espessura do piso da pista conforme projeto</t>
  </si>
  <si>
    <t>item alterado/sugerido pois não é possível aplicar o concreto autoadensável do item proposto nos trechos de rampa da pista de skate. Favor verificar e consolidar as informações.</t>
  </si>
  <si>
    <t>item alterado/sugerido pois não é possível utilizar o equipamento de polimento a laser nos trechos de rampa da pista de skate. Favor verificar e consolidar as informações.</t>
  </si>
  <si>
    <t>CIMENTO PORTLAND CP IIE-32 (RESISTÊNCIA: 32,00MPA)</t>
  </si>
  <si>
    <t>MATED-11258</t>
  </si>
  <si>
    <t>ACABAMENTO QUEIMADO COM CIMENTO PORTLAND CP IIE-32 (RESISTÊNCIA: 32,00MPA), SEM JUNTA DE DILATAÇÃO, INCLUSIVE FORNECIMENTO DE TODOS OS MATERIAIS E SERVIÇOS</t>
  </si>
  <si>
    <r>
      <t>m</t>
    </r>
    <r>
      <rPr>
        <b/>
        <sz val="10"/>
        <rFont val="Calibri"/>
        <family val="2"/>
      </rPr>
      <t>²</t>
    </r>
  </si>
  <si>
    <t>(2,00 X 3,1416 X 2,00 / 4,00 + 3,50 + 2,00 X 3,1416 X 2,00 / 4,00 + 2,00 X 3,1416 X 3,00 / 4,00 + 2,00 X 3,1416 X 3,00 / 4,00) X 6,00 - somatório das extensões (exceto plataformas altas) X largura da pista conforme projeto</t>
  </si>
  <si>
    <t>5.2</t>
  </si>
  <si>
    <t>5.17</t>
  </si>
  <si>
    <t>(2,00 + 6,00 + 2,00) + (2,00 + 5,00 + 2,00) + (2,00 + 6,00 + 2,00) - somatório das extensões conforme projeto</t>
  </si>
  <si>
    <t>EMPRESA/FORNECEDOR</t>
  </si>
  <si>
    <t>MEMÓRIA DE CÁLCULO AUXILIAR - PERÍMETROS E ÁREAS</t>
  </si>
  <si>
    <t>DATA: 14/06/2021</t>
  </si>
  <si>
    <t>favor verificar e consolidar as informações</t>
  </si>
  <si>
    <t>RO-42283</t>
  </si>
  <si>
    <t>PASSEIO DE CONCRETO (FCK &gt;= 11 MPA - ESPESSURA DE 6CM) (EXECUÇÃO, INCLUINDO FORNECIMENTO E TRANSPORTE DE TODOS OS MATERIAIS)</t>
  </si>
  <si>
    <t>item alterado/sugerido por entendermos ser mais adequado. Favor verificar e consolidar as informações</t>
  </si>
  <si>
    <t>item alterado/sugerido por ser específico para obras em áreas internas e não em vias públicas. Favor verificar e consolidar as informações</t>
  </si>
  <si>
    <t>necessário pois a escavação foi para blocos e cintas com forma. Favor verificar e consolidar as informações</t>
  </si>
  <si>
    <t>considerada altura de pilar = 2,60 m. Favor verificar e consolidra as informações</t>
  </si>
  <si>
    <t>item inserido/sugerido pois não constava da planilha proposta e é necessário para congruência com o projeto. Favor verificar e consolidar as informações.</t>
  </si>
  <si>
    <t>item inserido/sugerido conforme entendimentos verbais de 14/06/2021. Favor verificar e consolidar as informações.</t>
  </si>
  <si>
    <t>quantitativos recalculado conforme entendimentso verbais de 14/06/2021. Favor verificar e consolidar as informações.</t>
  </si>
  <si>
    <t>item inserido/sugerido por ser necessário para congruência com o projeto. Favor verificar e consolidar as informações.</t>
  </si>
  <si>
    <t>item inserido/sugerido por ser necessário para congruência com o projeto (aterro dos vãos das alvenarias de bloco para conformação do solo sobre o qual será executado o radier do piso da pista de skate. Favor verificar e consolidar as informações.</t>
  </si>
  <si>
    <t>item inserido/sugerido por ser necessário para a execução do radier do piso da pista de skate. Favor verificar e consolidar as informações</t>
  </si>
  <si>
    <t>item alterado para congruência com o projeto conforme entendimentos verbais de 14/06/2021. Favor verificar e consolidar as informações.</t>
  </si>
  <si>
    <t>item alterado para viabilizar a execução pois o proposto era cotação que não foi apresentada conforme entendimentos verbais de 14/06/2021. Favor verificar e consolidar as informações.</t>
  </si>
  <si>
    <t>item alterado/sugerido pois o proposto é para aplicação em madeira ou metal. Favor verificar e consolidar as informações.</t>
  </si>
  <si>
    <t>item alterado/sugerido pois o proposto é para obras rodoviárias. Quantitativo recalculado para congruência com o projeto. Favor verificar e consolidar as informações.</t>
  </si>
  <si>
    <t>quantitativo alterado conforme entendimentos verbais de 14/06/2021. Favor verificar e consolidar as informações e revisar o projeto indicando somente o que for executar/instalar.</t>
  </si>
  <si>
    <t>Análise</t>
  </si>
  <si>
    <t>Observações SEINFRA</t>
  </si>
  <si>
    <t>PREFEITURA MUNICIPAL DE CONCEIÇÃO DO RIO VERDE - MG</t>
  </si>
  <si>
    <t>PERCENTUAL DE CONTRAPARTIDA</t>
  </si>
  <si>
    <t>FORNECIMENTO E INSTALAÇÃO DE CONJUNTO DE POSTE CONICO CONTINUO EM ACO GALVANIZADO, CURVO, BRACO SIMPLES, H = 7 M, DIAMETRO INFERIOR = *125* MM, ENGASTADO, ALTURA LIVRE 7,00 M, COM UMA LUMINÁRIA SOLAR PARA ILUMINAÇÃO PÚBLICA LED 150W PARA POSTE, INCLUSIVE ESCAVAÇÃO E CONCRETAGEM PARA ENGASTAMENTO DO POSTE</t>
  </si>
  <si>
    <t>POSTE CONICO CONTINUO EM ACO GALVANIZADO, CURVO, BRACO SIMPLES, H = 7 M, DIAMETRO INFERIOR = *125* MM</t>
  </si>
  <si>
    <r>
      <t>113,68 X 1,25 -  todo o volume de material de 1</t>
    </r>
    <r>
      <rPr>
        <sz val="12"/>
        <rFont val="Calibri"/>
        <family val="2"/>
      </rPr>
      <t>ª</t>
    </r>
    <r>
      <rPr>
        <sz val="10"/>
        <rFont val="Arial"/>
        <family val="2"/>
      </rPr>
      <t xml:space="preserve"> categoria de empréstimo acrescido de 25% de empolamento</t>
    </r>
  </si>
  <si>
    <r>
      <t>(3,00 + 2,00 X 3,1416 X 2,00 / 4,00 + 3,50 + 2,00 X 3,1416 X 2,00 / 4,00 + 2,00 + 2,00 + 2,00 X 3,1416 X 3,00 / 4,00 + 4,00 + 2,00 X 3,1416 X 3,00 / 4,00 + 2,00) X 6,00 X 1,48 - somatório das extensões X largura da pista X kg/m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de tela conforme projeto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</si>
</sst>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#,##0.0000"/>
    <numFmt numFmtId="167" formatCode="0.0000"/>
    <numFmt numFmtId="168" formatCode="0.0000000"/>
    <numFmt numFmtId="169" formatCode="0.00000"/>
    <numFmt numFmtId="170" formatCode="0.0000%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6.5"/>
      <name val="Arial"/>
      <family val="2"/>
    </font>
    <font>
      <sz val="12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/>
    <xf numFmtId="0" fontId="37" fillId="0" borderId="0"/>
  </cellStyleXfs>
  <cellXfs count="413">
    <xf numFmtId="0" fontId="0" fillId="0" borderId="0" xfId="0"/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9" fontId="21" fillId="0" borderId="12" xfId="0" applyNumberFormat="1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4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center" vertical="center" wrapText="1"/>
    </xf>
    <xf numFmtId="165" fontId="21" fillId="0" borderId="26" xfId="0" applyNumberFormat="1" applyFont="1" applyFill="1" applyBorder="1" applyAlignment="1">
      <alignment horizontal="center" vertical="center" wrapText="1"/>
    </xf>
    <xf numFmtId="10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3" xfId="0" applyNumberFormat="1" applyFont="1" applyFill="1" applyBorder="1" applyAlignment="1">
      <alignment vertical="center"/>
    </xf>
    <xf numFmtId="0" fontId="21" fillId="0" borderId="13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165" fontId="21" fillId="0" borderId="13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2" fontId="25" fillId="0" borderId="13" xfId="0" applyNumberFormat="1" applyFont="1" applyFill="1" applyBorder="1" applyAlignment="1">
      <alignment horizontal="center" vertical="center"/>
    </xf>
    <xf numFmtId="2" fontId="26" fillId="0" borderId="13" xfId="0" applyNumberFormat="1" applyFont="1" applyFill="1" applyBorder="1" applyAlignment="1">
      <alignment horizontal="center" vertical="center"/>
    </xf>
    <xf numFmtId="2" fontId="21" fillId="0" borderId="13" xfId="0" applyNumberFormat="1" applyFont="1" applyFill="1" applyBorder="1" applyAlignment="1">
      <alignment horizontal="center" vertical="center"/>
    </xf>
    <xf numFmtId="2" fontId="22" fillId="0" borderId="1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2" fontId="27" fillId="0" borderId="20" xfId="0" applyNumberFormat="1" applyFont="1" applyFill="1" applyBorder="1" applyAlignment="1">
      <alignment horizontal="center" vertical="center"/>
    </xf>
    <xf numFmtId="10" fontId="21" fillId="0" borderId="26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25" fillId="0" borderId="0" xfId="0" applyNumberFormat="1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2" fontId="21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27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vertical="center"/>
    </xf>
    <xf numFmtId="4" fontId="3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vertical="center"/>
    </xf>
    <xf numFmtId="4" fontId="3" fillId="0" borderId="24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25" fillId="0" borderId="13" xfId="0" applyNumberFormat="1" applyFont="1" applyFill="1" applyBorder="1" applyAlignment="1">
      <alignment vertical="center" wrapText="1"/>
    </xf>
    <xf numFmtId="0" fontId="26" fillId="0" borderId="13" xfId="0" applyNumberFormat="1" applyFont="1" applyFill="1" applyBorder="1" applyAlignment="1">
      <alignment vertical="center" wrapText="1"/>
    </xf>
    <xf numFmtId="0" fontId="21" fillId="0" borderId="18" xfId="0" applyNumberFormat="1" applyFont="1" applyFill="1" applyBorder="1" applyAlignment="1">
      <alignment vertical="center" wrapText="1"/>
    </xf>
    <xf numFmtId="0" fontId="21" fillId="0" borderId="13" xfId="0" applyNumberFormat="1" applyFont="1" applyFill="1" applyBorder="1" applyAlignment="1">
      <alignment vertical="center" wrapText="1"/>
    </xf>
    <xf numFmtId="0" fontId="21" fillId="0" borderId="1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1" fillId="0" borderId="0" xfId="0" applyFont="1" applyBorder="1" applyAlignment="1"/>
    <xf numFmtId="0" fontId="3" fillId="0" borderId="0" xfId="0" applyNumberFormat="1" applyFont="1" applyFill="1" applyAlignment="1">
      <alignment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4" fontId="21" fillId="0" borderId="13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47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4" fontId="30" fillId="0" borderId="0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/>
    </xf>
    <xf numFmtId="165" fontId="22" fillId="0" borderId="13" xfId="0" applyNumberFormat="1" applyFont="1" applyFill="1" applyBorder="1" applyAlignment="1">
      <alignment horizontal="center" vertical="center" wrapText="1"/>
    </xf>
    <xf numFmtId="165" fontId="24" fillId="0" borderId="18" xfId="0" applyNumberFormat="1" applyFont="1" applyFill="1" applyBorder="1" applyAlignment="1">
      <alignment horizontal="right" vertical="center" wrapText="1"/>
    </xf>
    <xf numFmtId="10" fontId="21" fillId="0" borderId="10" xfId="0" applyNumberFormat="1" applyFont="1" applyFill="1" applyBorder="1" applyAlignment="1">
      <alignment horizontal="center" vertical="center" wrapText="1"/>
    </xf>
    <xf numFmtId="0" fontId="3" fillId="0" borderId="10" xfId="47" applyNumberFormat="1" applyFont="1" applyFill="1" applyBorder="1" applyAlignment="1">
      <alignment horizontal="center" vertical="center" wrapText="1"/>
    </xf>
    <xf numFmtId="165" fontId="21" fillId="24" borderId="26" xfId="0" applyNumberFormat="1" applyFont="1" applyFill="1" applyBorder="1" applyAlignment="1">
      <alignment horizontal="center" vertical="center" wrapText="1"/>
    </xf>
    <xf numFmtId="165" fontId="21" fillId="24" borderId="10" xfId="0" applyNumberFormat="1" applyFont="1" applyFill="1" applyBorder="1" applyAlignment="1">
      <alignment horizontal="center" vertical="center" wrapText="1"/>
    </xf>
    <xf numFmtId="165" fontId="21" fillId="24" borderId="13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vertical="center"/>
    </xf>
    <xf numFmtId="2" fontId="30" fillId="0" borderId="0" xfId="0" applyNumberFormat="1" applyFont="1" applyFill="1" applyBorder="1" applyAlignment="1">
      <alignment horizontal="center" vertical="center"/>
    </xf>
    <xf numFmtId="4" fontId="30" fillId="0" borderId="27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6" fontId="30" fillId="0" borderId="0" xfId="0" applyNumberFormat="1" applyFont="1" applyFill="1" applyBorder="1" applyAlignment="1">
      <alignment vertical="center"/>
    </xf>
    <xf numFmtId="0" fontId="30" fillId="0" borderId="21" xfId="0" applyFont="1" applyFill="1" applyBorder="1" applyAlignment="1">
      <alignment vertical="center"/>
    </xf>
    <xf numFmtId="4" fontId="30" fillId="0" borderId="0" xfId="0" applyNumberFormat="1" applyFont="1" applyFill="1" applyAlignment="1">
      <alignment horizontal="center" vertical="center"/>
    </xf>
    <xf numFmtId="0" fontId="30" fillId="0" borderId="27" xfId="0" applyFont="1" applyFill="1" applyBorder="1" applyAlignment="1">
      <alignment vertical="center"/>
    </xf>
    <xf numFmtId="0" fontId="31" fillId="0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" fontId="31" fillId="0" borderId="0" xfId="0" applyNumberFormat="1" applyFont="1" applyFill="1" applyAlignment="1">
      <alignment horizontal="center" vertical="center"/>
    </xf>
    <xf numFmtId="0" fontId="31" fillId="0" borderId="27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2" fontId="21" fillId="0" borderId="10" xfId="47" applyNumberFormat="1" applyFont="1" applyFill="1" applyBorder="1" applyAlignment="1">
      <alignment horizontal="center" vertical="center" wrapText="1"/>
    </xf>
    <xf numFmtId="2" fontId="21" fillId="0" borderId="10" xfId="47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24" fillId="0" borderId="1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vertical="center"/>
    </xf>
    <xf numFmtId="165" fontId="24" fillId="0" borderId="10" xfId="0" applyNumberFormat="1" applyFont="1" applyFill="1" applyBorder="1" applyAlignment="1">
      <alignment horizontal="center" vertical="center"/>
    </xf>
    <xf numFmtId="165" fontId="24" fillId="24" borderId="1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49" fontId="33" fillId="0" borderId="2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49" fontId="33" fillId="0" borderId="17" xfId="0" applyNumberFormat="1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left" vertical="center" wrapText="1"/>
    </xf>
    <xf numFmtId="0" fontId="33" fillId="0" borderId="2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5" fontId="21" fillId="0" borderId="0" xfId="0" applyNumberFormat="1" applyFont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165" fontId="35" fillId="0" borderId="10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4" fontId="21" fillId="0" borderId="13" xfId="0" applyNumberFormat="1" applyFont="1" applyFill="1" applyBorder="1" applyAlignment="1">
      <alignment horizontal="right" vertical="center"/>
    </xf>
    <xf numFmtId="10" fontId="21" fillId="0" borderId="18" xfId="33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center" vertical="center"/>
    </xf>
    <xf numFmtId="4" fontId="22" fillId="0" borderId="27" xfId="0" applyNumberFormat="1" applyFont="1" applyFill="1" applyBorder="1" applyAlignment="1">
      <alignment horizontal="center" vertical="center"/>
    </xf>
    <xf numFmtId="2" fontId="33" fillId="0" borderId="0" xfId="0" applyNumberFormat="1" applyFont="1" applyFill="1" applyBorder="1" applyAlignment="1">
      <alignment horizontal="center" vertical="center"/>
    </xf>
    <xf numFmtId="2" fontId="33" fillId="0" borderId="2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4" fontId="21" fillId="0" borderId="10" xfId="0" applyNumberFormat="1" applyFont="1" applyFill="1" applyBorder="1" applyAlignment="1">
      <alignment horizontal="left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2" fontId="34" fillId="0" borderId="0" xfId="0" applyNumberFormat="1" applyFont="1" applyAlignment="1">
      <alignment horizontal="center" vertical="center"/>
    </xf>
    <xf numFmtId="0" fontId="3" fillId="0" borderId="10" xfId="36" applyFont="1" applyFill="1" applyBorder="1" applyAlignment="1" applyProtection="1">
      <alignment horizontal="center" vertical="center" wrapText="1"/>
      <protection hidden="1"/>
    </xf>
    <xf numFmtId="0" fontId="3" fillId="0" borderId="10" xfId="36" applyFont="1" applyFill="1" applyBorder="1" applyAlignment="1" applyProtection="1">
      <alignment horizontal="left" vertical="center" wrapText="1"/>
      <protection hidden="1"/>
    </xf>
    <xf numFmtId="0" fontId="3" fillId="0" borderId="10" xfId="36" applyFont="1" applyFill="1" applyBorder="1" applyAlignment="1" applyProtection="1">
      <alignment horizontal="center" vertical="center"/>
      <protection hidden="1"/>
    </xf>
    <xf numFmtId="49" fontId="22" fillId="0" borderId="10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vertical="center" wrapText="1"/>
    </xf>
    <xf numFmtId="167" fontId="21" fillId="0" borderId="30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167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67" fontId="22" fillId="0" borderId="0" xfId="0" applyNumberFormat="1" applyFont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41" fillId="0" borderId="15" xfId="0" applyNumberFormat="1" applyFont="1" applyBorder="1" applyAlignment="1">
      <alignment horizontal="center" vertical="center"/>
    </xf>
    <xf numFmtId="165" fontId="41" fillId="24" borderId="1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4" fillId="24" borderId="29" xfId="0" applyFont="1" applyFill="1" applyBorder="1" applyAlignment="1">
      <alignment vertical="center" wrapText="1"/>
    </xf>
    <xf numFmtId="49" fontId="24" fillId="24" borderId="3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168" fontId="44" fillId="0" borderId="10" xfId="0" applyNumberFormat="1" applyFont="1" applyBorder="1" applyAlignment="1">
      <alignment horizontal="center" vertical="center" wrapText="1"/>
    </xf>
    <xf numFmtId="165" fontId="44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9" fontId="45" fillId="0" borderId="10" xfId="0" applyNumberFormat="1" applyFont="1" applyBorder="1" applyAlignment="1">
      <alignment horizontal="center" vertical="center" wrapText="1"/>
    </xf>
    <xf numFmtId="165" fontId="45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169" fontId="22" fillId="0" borderId="10" xfId="0" applyNumberFormat="1" applyFont="1" applyBorder="1" applyAlignment="1">
      <alignment horizontal="center" vertical="center"/>
    </xf>
    <xf numFmtId="0" fontId="22" fillId="0" borderId="10" xfId="36" applyFont="1" applyFill="1" applyBorder="1" applyAlignment="1" applyProtection="1">
      <alignment horizontal="center" vertical="center" wrapText="1"/>
      <protection hidden="1"/>
    </xf>
    <xf numFmtId="0" fontId="22" fillId="0" borderId="10" xfId="36" applyFont="1" applyFill="1" applyBorder="1" applyAlignment="1" applyProtection="1">
      <alignment horizontal="left" vertical="center" wrapText="1"/>
      <protection hidden="1"/>
    </xf>
    <xf numFmtId="165" fontId="22" fillId="0" borderId="10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67" fontId="34" fillId="0" borderId="0" xfId="0" applyNumberFormat="1" applyFont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167" fontId="35" fillId="0" borderId="10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vertical="center" wrapText="1"/>
    </xf>
    <xf numFmtId="167" fontId="47" fillId="0" borderId="10" xfId="0" applyNumberFormat="1" applyFont="1" applyBorder="1" applyAlignment="1">
      <alignment horizontal="center" vertical="center"/>
    </xf>
    <xf numFmtId="165" fontId="47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21" fillId="24" borderId="15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7" fillId="0" borderId="10" xfId="0" applyNumberFormat="1" applyFont="1" applyBorder="1" applyAlignment="1">
      <alignment horizontal="center" vertical="center" wrapText="1"/>
    </xf>
    <xf numFmtId="49" fontId="21" fillId="24" borderId="30" xfId="0" applyNumberFormat="1" applyFont="1" applyFill="1" applyBorder="1" applyAlignment="1">
      <alignment horizontal="left" vertical="center" wrapText="1"/>
    </xf>
    <xf numFmtId="0" fontId="21" fillId="24" borderId="29" xfId="0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165" fontId="24" fillId="0" borderId="10" xfId="0" applyNumberFormat="1" applyFont="1" applyFill="1" applyBorder="1" applyAlignment="1">
      <alignment horizontal="center" vertical="center" wrapText="1"/>
    </xf>
    <xf numFmtId="2" fontId="21" fillId="0" borderId="10" xfId="47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2" fontId="25" fillId="25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2" fontId="23" fillId="25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48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8" fillId="0" borderId="0" xfId="0" applyFont="1" applyFill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horizontal="left" vertical="center"/>
    </xf>
    <xf numFmtId="4" fontId="30" fillId="0" borderId="0" xfId="0" applyNumberFormat="1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50" fillId="0" borderId="29" xfId="0" applyFont="1" applyBorder="1" applyAlignment="1">
      <alignment vertical="center"/>
    </xf>
    <xf numFmtId="0" fontId="50" fillId="0" borderId="30" xfId="0" applyFont="1" applyBorder="1" applyAlignment="1">
      <alignment vertical="center"/>
    </xf>
    <xf numFmtId="0" fontId="50" fillId="0" borderId="31" xfId="0" applyFont="1" applyFill="1" applyBorder="1" applyAlignment="1">
      <alignment vertical="center"/>
    </xf>
    <xf numFmtId="0" fontId="50" fillId="0" borderId="0" xfId="0" applyFont="1" applyAlignment="1">
      <alignment vertical="center"/>
    </xf>
    <xf numFmtId="2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4" fontId="51" fillId="0" borderId="0" xfId="0" applyNumberFormat="1" applyFont="1" applyAlignment="1">
      <alignment horizontal="center" vertical="center"/>
    </xf>
    <xf numFmtId="167" fontId="51" fillId="0" borderId="0" xfId="0" applyNumberFormat="1" applyFont="1" applyAlignment="1">
      <alignment horizontal="center" vertical="center"/>
    </xf>
    <xf numFmtId="2" fontId="51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2" fontId="52" fillId="0" borderId="0" xfId="0" applyNumberFormat="1" applyFont="1" applyAlignment="1">
      <alignment horizontal="center" vertical="center"/>
    </xf>
    <xf numFmtId="0" fontId="29" fillId="0" borderId="18" xfId="0" applyNumberFormat="1" applyFont="1" applyFill="1" applyBorder="1" applyAlignment="1">
      <alignment vertical="center" wrapText="1"/>
    </xf>
    <xf numFmtId="0" fontId="32" fillId="0" borderId="18" xfId="0" applyFont="1" applyFill="1" applyBorder="1" applyAlignment="1">
      <alignment vertical="center"/>
    </xf>
    <xf numFmtId="49" fontId="30" fillId="0" borderId="2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vertical="center" wrapText="1"/>
    </xf>
    <xf numFmtId="2" fontId="31" fillId="0" borderId="0" xfId="0" applyNumberFormat="1" applyFont="1" applyFill="1" applyBorder="1" applyAlignment="1">
      <alignment horizontal="center" vertical="center"/>
    </xf>
    <xf numFmtId="170" fontId="25" fillId="0" borderId="0" xfId="0" applyNumberFormat="1" applyFont="1" applyFill="1" applyAlignment="1">
      <alignment vertical="center"/>
    </xf>
    <xf numFmtId="0" fontId="21" fillId="0" borderId="12" xfId="0" applyFont="1" applyFill="1" applyBorder="1" applyAlignment="1">
      <alignment horizontal="right" vertical="center" wrapText="1"/>
    </xf>
    <xf numFmtId="10" fontId="21" fillId="0" borderId="18" xfId="33" applyNumberFormat="1" applyFont="1" applyFill="1" applyBorder="1" applyAlignment="1">
      <alignment horizontal="lef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2" fontId="3" fillId="0" borderId="10" xfId="47" applyNumberFormat="1" applyFont="1" applyFill="1" applyBorder="1" applyAlignment="1">
      <alignment horizontal="left" vertical="center" wrapText="1"/>
    </xf>
    <xf numFmtId="2" fontId="3" fillId="0" borderId="10" xfId="47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>
      <alignment horizontal="center" vertical="center" wrapText="1"/>
    </xf>
    <xf numFmtId="4" fontId="29" fillId="0" borderId="16" xfId="0" applyNumberFormat="1" applyFont="1" applyFill="1" applyBorder="1" applyAlignment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 wrapText="1"/>
    </xf>
    <xf numFmtId="0" fontId="54" fillId="0" borderId="23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4" fillId="0" borderId="2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1" fillId="24" borderId="29" xfId="0" applyFont="1" applyFill="1" applyBorder="1" applyAlignment="1">
      <alignment horizontal="center" vertical="center"/>
    </xf>
    <xf numFmtId="0" fontId="21" fillId="24" borderId="30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left" vertical="center" wrapText="1"/>
    </xf>
    <xf numFmtId="0" fontId="21" fillId="24" borderId="31" xfId="0" applyFont="1" applyFill="1" applyBorder="1" applyAlignment="1">
      <alignment horizontal="left" vertical="center" wrapText="1"/>
    </xf>
    <xf numFmtId="0" fontId="21" fillId="24" borderId="29" xfId="0" applyFont="1" applyFill="1" applyBorder="1" applyAlignment="1">
      <alignment horizontal="left" vertical="center"/>
    </xf>
    <xf numFmtId="0" fontId="21" fillId="24" borderId="30" xfId="0" applyFont="1" applyFill="1" applyBorder="1" applyAlignment="1">
      <alignment horizontal="left" vertical="center"/>
    </xf>
    <xf numFmtId="0" fontId="21" fillId="24" borderId="31" xfId="0" applyFont="1" applyFill="1" applyBorder="1" applyAlignment="1">
      <alignment horizontal="left" vertical="center"/>
    </xf>
    <xf numFmtId="0" fontId="24" fillId="24" borderId="29" xfId="0" applyFont="1" applyFill="1" applyBorder="1" applyAlignment="1">
      <alignment horizontal="left" vertical="center" wrapText="1"/>
    </xf>
    <xf numFmtId="0" fontId="24" fillId="24" borderId="31" xfId="0" applyFont="1" applyFill="1" applyBorder="1" applyAlignment="1">
      <alignment horizontal="left" vertical="center" wrapText="1"/>
    </xf>
    <xf numFmtId="0" fontId="24" fillId="24" borderId="29" xfId="0" applyFont="1" applyFill="1" applyBorder="1" applyAlignment="1">
      <alignment horizontal="left" vertical="center"/>
    </xf>
    <xf numFmtId="0" fontId="24" fillId="24" borderId="30" xfId="0" applyFont="1" applyFill="1" applyBorder="1" applyAlignment="1">
      <alignment horizontal="left" vertical="center"/>
    </xf>
    <xf numFmtId="0" fontId="24" fillId="24" borderId="31" xfId="0" applyFont="1" applyFill="1" applyBorder="1" applyAlignment="1">
      <alignment horizontal="left" vertical="center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24" borderId="29" xfId="0" applyFont="1" applyFill="1" applyBorder="1" applyAlignment="1">
      <alignment horizontal="center" vertical="center" wrapText="1"/>
    </xf>
    <xf numFmtId="0" fontId="21" fillId="24" borderId="30" xfId="0" applyFont="1" applyFill="1" applyBorder="1" applyAlignment="1">
      <alignment horizontal="center" vertical="center" wrapText="1"/>
    </xf>
    <xf numFmtId="0" fontId="21" fillId="24" borderId="31" xfId="0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165" fontId="42" fillId="24" borderId="11" xfId="0" applyNumberFormat="1" applyFont="1" applyFill="1" applyBorder="1" applyAlignment="1">
      <alignment horizontal="center" vertical="center" wrapText="1"/>
    </xf>
    <xf numFmtId="165" fontId="42" fillId="24" borderId="15" xfId="0" applyNumberFormat="1" applyFont="1" applyFill="1" applyBorder="1" applyAlignment="1">
      <alignment horizontal="center" vertical="center" wrapText="1"/>
    </xf>
    <xf numFmtId="0" fontId="29" fillId="24" borderId="29" xfId="0" applyFont="1" applyFill="1" applyBorder="1" applyAlignment="1">
      <alignment horizontal="center" vertical="center"/>
    </xf>
    <xf numFmtId="0" fontId="29" fillId="24" borderId="30" xfId="0" applyFont="1" applyFill="1" applyBorder="1" applyAlignment="1">
      <alignment horizontal="center" vertical="center"/>
    </xf>
    <xf numFmtId="0" fontId="29" fillId="24" borderId="31" xfId="0" applyFont="1" applyFill="1" applyBorder="1" applyAlignment="1">
      <alignment horizontal="center" vertical="center"/>
    </xf>
  </cellXfs>
  <cellStyles count="5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 Built-in Normal" xfId="49"/>
    <cellStyle name="Incorreto" xfId="30" builtinId="27" customBuiltin="1"/>
    <cellStyle name="Neutra" xfId="31" builtinId="28" customBuiltin="1"/>
    <cellStyle name="Normal" xfId="0" builtinId="0"/>
    <cellStyle name="Normal 2 2" xfId="45"/>
    <cellStyle name="Normal 3" xfId="48"/>
    <cellStyle name="Nota" xfId="32" builtinId="10" customBuiltin="1"/>
    <cellStyle name="Porcentagem" xfId="33" builtinId="5"/>
    <cellStyle name="Porcentagem 2" xfId="46"/>
    <cellStyle name="Saída" xfId="34" builtinId="21" customBuiltin="1"/>
    <cellStyle name="Separador de milhares 2" xfId="44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7" builtinId="3"/>
    <cellStyle name="Vírgula 4" xfId="43"/>
  </cellStyles>
  <dxfs count="0"/>
  <tableStyles count="0" defaultTableStyle="TableStyleMedium9" defaultPivotStyle="PivotStyleLight16"/>
  <colors>
    <mruColors>
      <color rgb="FF99CC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721783</xdr:colOff>
      <xdr:row>0</xdr:row>
      <xdr:rowOff>127000</xdr:rowOff>
    </xdr:from>
    <xdr:to>
      <xdr:col>3</xdr:col>
      <xdr:colOff>2461683</xdr:colOff>
      <xdr:row>0</xdr:row>
      <xdr:rowOff>838200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F6EE1F53-8D91-418D-80DF-DD4FD33E1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583" y="127000"/>
          <a:ext cx="3399367" cy="711200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0</xdr:row>
      <xdr:rowOff>135467</xdr:rowOff>
    </xdr:from>
    <xdr:to>
      <xdr:col>1</xdr:col>
      <xdr:colOff>592997</xdr:colOff>
      <xdr:row>0</xdr:row>
      <xdr:rowOff>804333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9B6DBC0B-EE1F-46AC-ABB3-59E3F4B2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67" y="135467"/>
          <a:ext cx="736930" cy="66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67733</xdr:colOff>
      <xdr:row>0</xdr:row>
      <xdr:rowOff>50801</xdr:rowOff>
    </xdr:from>
    <xdr:to>
      <xdr:col>8</xdr:col>
      <xdr:colOff>848782</xdr:colOff>
      <xdr:row>0</xdr:row>
      <xdr:rowOff>836681</xdr:rowOff>
    </xdr:to>
    <xdr:pic>
      <xdr:nvPicPr>
        <xdr:cNvPr id="6" name="Imagem 1" descr="brasão">
          <a:extLst>
            <a:ext uri="{FF2B5EF4-FFF2-40B4-BE49-F238E27FC236}">
              <a16:creationId xmlns="" xmlns:a16="http://schemas.microsoft.com/office/drawing/2014/main" id="{53D056E4-939E-4214-AEBD-CAAD1FF1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50801"/>
          <a:ext cx="781049" cy="78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814915</xdr:colOff>
      <xdr:row>0</xdr:row>
      <xdr:rowOff>110068</xdr:rowOff>
    </xdr:from>
    <xdr:to>
      <xdr:col>2</xdr:col>
      <xdr:colOff>669166</xdr:colOff>
      <xdr:row>0</xdr:row>
      <xdr:rowOff>821268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19A17DE-739B-4142-AAA5-E953DC12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315" y="110068"/>
          <a:ext cx="3399367" cy="71120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0</xdr:row>
      <xdr:rowOff>118534</xdr:rowOff>
    </xdr:from>
    <xdr:to>
      <xdr:col>1</xdr:col>
      <xdr:colOff>432129</xdr:colOff>
      <xdr:row>0</xdr:row>
      <xdr:rowOff>787400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B29A09E-8AA9-4D6A-9F69-6B3D923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18534"/>
          <a:ext cx="736930" cy="66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117929</xdr:colOff>
      <xdr:row>0</xdr:row>
      <xdr:rowOff>63500</xdr:rowOff>
    </xdr:from>
    <xdr:to>
      <xdr:col>6</xdr:col>
      <xdr:colOff>898978</xdr:colOff>
      <xdr:row>0</xdr:row>
      <xdr:rowOff>849380</xdr:rowOff>
    </xdr:to>
    <xdr:pic>
      <xdr:nvPicPr>
        <xdr:cNvPr id="5" name="Imagem 1" descr="brasão">
          <a:extLst>
            <a:ext uri="{FF2B5EF4-FFF2-40B4-BE49-F238E27FC236}">
              <a16:creationId xmlns="" xmlns:a16="http://schemas.microsoft.com/office/drawing/2014/main" id="{4E12D7D2-4161-4280-A6DB-148A1042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2858" y="63500"/>
          <a:ext cx="781049" cy="78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23</xdr:row>
      <xdr:rowOff>80433</xdr:rowOff>
    </xdr:from>
    <xdr:to>
      <xdr:col>4</xdr:col>
      <xdr:colOff>2640513</xdr:colOff>
      <xdr:row>40</xdr:row>
      <xdr:rowOff>81433</xdr:rowOff>
    </xdr:to>
    <xdr:pic>
      <xdr:nvPicPr>
        <xdr:cNvPr id="19" name="Imagem 18">
          <a:extLst>
            <a:ext uri="{FF2B5EF4-FFF2-40B4-BE49-F238E27FC236}">
              <a16:creationId xmlns="" xmlns:a16="http://schemas.microsoft.com/office/drawing/2014/main" id="{9F602D26-7905-4C86-B11B-D06F1FBB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4643966"/>
          <a:ext cx="424918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2976428</xdr:colOff>
      <xdr:row>23</xdr:row>
      <xdr:rowOff>122767</xdr:rowOff>
    </xdr:from>
    <xdr:to>
      <xdr:col>9</xdr:col>
      <xdr:colOff>419916</xdr:colOff>
      <xdr:row>40</xdr:row>
      <xdr:rowOff>78317</xdr:rowOff>
    </xdr:to>
    <xdr:pic>
      <xdr:nvPicPr>
        <xdr:cNvPr id="20" name="Imagem 19">
          <a:extLst>
            <a:ext uri="{FF2B5EF4-FFF2-40B4-BE49-F238E27FC236}">
              <a16:creationId xmlns="" xmlns:a16="http://schemas.microsoft.com/office/drawing/2014/main" id="{D8F9EB25-B9E6-41D9-89FD-34C37AA69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9095" y="4686300"/>
          <a:ext cx="4068654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42</xdr:row>
      <xdr:rowOff>31750</xdr:rowOff>
    </xdr:from>
    <xdr:to>
      <xdr:col>4</xdr:col>
      <xdr:colOff>2530936</xdr:colOff>
      <xdr:row>59</xdr:row>
      <xdr:rowOff>32750</xdr:rowOff>
    </xdr:to>
    <xdr:pic>
      <xdr:nvPicPr>
        <xdr:cNvPr id="21" name="Imagem 20">
          <a:extLst>
            <a:ext uri="{FF2B5EF4-FFF2-40B4-BE49-F238E27FC236}">
              <a16:creationId xmlns="" xmlns:a16="http://schemas.microsoft.com/office/drawing/2014/main" id="{8563DCEA-E97F-483F-A292-040A89567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350" y="6642100"/>
          <a:ext cx="4131136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2567516</xdr:colOff>
      <xdr:row>45</xdr:row>
      <xdr:rowOff>63500</xdr:rowOff>
    </xdr:from>
    <xdr:to>
      <xdr:col>8</xdr:col>
      <xdr:colOff>557304</xdr:colOff>
      <xdr:row>59</xdr:row>
      <xdr:rowOff>85500</xdr:rowOff>
    </xdr:to>
    <xdr:pic>
      <xdr:nvPicPr>
        <xdr:cNvPr id="22" name="Imagem 21">
          <a:extLst>
            <a:ext uri="{FF2B5EF4-FFF2-40B4-BE49-F238E27FC236}">
              <a16:creationId xmlns="" xmlns:a16="http://schemas.microsoft.com/office/drawing/2014/main" id="{538BD744-C33D-442B-B347-510F8416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30183" y="7421033"/>
          <a:ext cx="3747121" cy="1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38103</xdr:colOff>
      <xdr:row>9</xdr:row>
      <xdr:rowOff>91015</xdr:rowOff>
    </xdr:from>
    <xdr:to>
      <xdr:col>6</xdr:col>
      <xdr:colOff>144788</xdr:colOff>
      <xdr:row>21</xdr:row>
      <xdr:rowOff>140615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83B759DF-85A8-4E12-A34C-E62564EB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3" y="1598082"/>
          <a:ext cx="4043685" cy="198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364066</xdr:colOff>
      <xdr:row>9</xdr:row>
      <xdr:rowOff>84667</xdr:rowOff>
    </xdr:from>
    <xdr:to>
      <xdr:col>12</xdr:col>
      <xdr:colOff>714843</xdr:colOff>
      <xdr:row>21</xdr:row>
      <xdr:rowOff>134267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339C1DC3-54AD-4D38-951B-3ED3D1EFD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0666" y="1591734"/>
          <a:ext cx="4126910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448735</xdr:colOff>
      <xdr:row>45</xdr:row>
      <xdr:rowOff>103789</xdr:rowOff>
    </xdr:from>
    <xdr:to>
      <xdr:col>5</xdr:col>
      <xdr:colOff>479196</xdr:colOff>
      <xdr:row>56</xdr:row>
      <xdr:rowOff>134255</xdr:rowOff>
    </xdr:to>
    <xdr:pic>
      <xdr:nvPicPr>
        <xdr:cNvPr id="14" name="Imagem 13">
          <a:extLst>
            <a:ext uri="{FF2B5EF4-FFF2-40B4-BE49-F238E27FC236}">
              <a16:creationId xmlns="" xmlns:a16="http://schemas.microsoft.com/office/drawing/2014/main" id="{F5E1EF32-6584-4109-91D0-7DE4F48F8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8335" y="7410522"/>
          <a:ext cx="3222394" cy="18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27</xdr:row>
      <xdr:rowOff>29635</xdr:rowOff>
    </xdr:from>
    <xdr:to>
      <xdr:col>5</xdr:col>
      <xdr:colOff>461577</xdr:colOff>
      <xdr:row>40</xdr:row>
      <xdr:rowOff>98368</xdr:rowOff>
    </xdr:to>
    <xdr:pic>
      <xdr:nvPicPr>
        <xdr:cNvPr id="15" name="Imagem 14">
          <a:extLst>
            <a:ext uri="{FF2B5EF4-FFF2-40B4-BE49-F238E27FC236}">
              <a16:creationId xmlns="" xmlns:a16="http://schemas.microsoft.com/office/drawing/2014/main" id="{42ACE7BF-2216-4CD6-BCE3-D0F386BE1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1933" y="4440768"/>
          <a:ext cx="3611177" cy="21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152402</xdr:colOff>
      <xdr:row>27</xdr:row>
      <xdr:rowOff>74084</xdr:rowOff>
    </xdr:from>
    <xdr:to>
      <xdr:col>12</xdr:col>
      <xdr:colOff>698514</xdr:colOff>
      <xdr:row>40</xdr:row>
      <xdr:rowOff>142817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47F1203D-EB9B-4AAC-A3BC-282748AE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99002" y="4485217"/>
          <a:ext cx="4322245" cy="21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Google%20Drive\DFT%20Projetos\PROJETOS\SERRANIA\PROJETOS\PRA&#199;A\PROJETO%20PRACA%20SETE%20ORELHAS\PLANILHA%20M+&#220;LTIPLA%202.3%20-%20RAND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29">
          <cell r="G29">
            <v>43009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9"/>
  <sheetViews>
    <sheetView showGridLines="0" tabSelected="1" view="pageBreakPreview" zoomScale="75" zoomScaleNormal="75" zoomScaleSheetLayoutView="75" workbookViewId="0">
      <selection activeCell="E1" sqref="E1:H1"/>
    </sheetView>
  </sheetViews>
  <sheetFormatPr defaultColWidth="9.140625" defaultRowHeight="12.75" x14ac:dyDescent="0.2"/>
  <cols>
    <col min="1" max="1" width="6.140625" style="4" customWidth="1"/>
    <col min="2" max="2" width="13.140625" style="5" customWidth="1"/>
    <col min="3" max="3" width="10.5703125" style="48" customWidth="1"/>
    <col min="4" max="4" width="53.5703125" style="99" customWidth="1"/>
    <col min="5" max="5" width="9.85546875" style="48" customWidth="1"/>
    <col min="6" max="6" width="8.5703125" style="65" customWidth="1"/>
    <col min="7" max="8" width="10.5703125" style="6" customWidth="1"/>
    <col min="9" max="9" width="16.5703125" style="6" customWidth="1"/>
    <col min="10" max="10" width="9.140625" style="70"/>
    <col min="11" max="11" width="12.7109375" style="13" bestFit="1" customWidth="1"/>
    <col min="12" max="16384" width="9.140625" style="13"/>
  </cols>
  <sheetData>
    <row r="1" spans="1:10" s="12" customFormat="1" ht="69.95" customHeight="1" x14ac:dyDescent="0.2">
      <c r="A1" s="8"/>
      <c r="B1" s="9"/>
      <c r="C1" s="44"/>
      <c r="D1" s="173"/>
      <c r="E1" s="351" t="s">
        <v>269</v>
      </c>
      <c r="F1" s="351"/>
      <c r="G1" s="351"/>
      <c r="H1" s="351"/>
      <c r="I1" s="335"/>
      <c r="J1" s="70"/>
    </row>
    <row r="2" spans="1:10" s="57" customFormat="1" ht="5.0999999999999996" customHeight="1" x14ac:dyDescent="0.2">
      <c r="A2" s="54"/>
      <c r="B2" s="55"/>
      <c r="C2" s="56"/>
      <c r="D2" s="92"/>
      <c r="E2" s="56"/>
      <c r="F2" s="61"/>
      <c r="G2" s="79"/>
      <c r="H2" s="55"/>
      <c r="I2" s="60"/>
      <c r="J2" s="71"/>
    </row>
    <row r="3" spans="1:10" s="58" customFormat="1" ht="15.75" x14ac:dyDescent="0.2">
      <c r="A3" s="355" t="s">
        <v>20</v>
      </c>
      <c r="B3" s="355"/>
      <c r="C3" s="355"/>
      <c r="D3" s="355"/>
      <c r="E3" s="355"/>
      <c r="F3" s="355"/>
      <c r="G3" s="355"/>
      <c r="H3" s="355"/>
      <c r="I3" s="355"/>
      <c r="J3" s="71"/>
    </row>
    <row r="4" spans="1:10" s="58" customFormat="1" ht="5.0999999999999996" customHeight="1" x14ac:dyDescent="0.2">
      <c r="A4" s="102"/>
      <c r="B4" s="103"/>
      <c r="C4" s="59"/>
      <c r="D4" s="93"/>
      <c r="E4" s="59"/>
      <c r="F4" s="62"/>
      <c r="G4" s="163"/>
      <c r="H4" s="103"/>
      <c r="I4" s="104"/>
      <c r="J4" s="71"/>
    </row>
    <row r="5" spans="1:10" ht="12.95" customHeight="1" x14ac:dyDescent="0.2">
      <c r="A5" s="15" t="str">
        <f>'MM CALC'!A3</f>
        <v>PREFEITURA MUNICIPAL DE CONCEIÇÃO DO RIO VERDE</v>
      </c>
      <c r="B5" s="3"/>
      <c r="C5" s="45"/>
      <c r="D5" s="94"/>
      <c r="E5" s="80" t="str">
        <f>'MM CALC'!E3</f>
        <v>DATA: 14/06/2021</v>
      </c>
      <c r="F5" s="63"/>
      <c r="G5" s="108"/>
      <c r="H5" s="203"/>
      <c r="I5" s="204"/>
    </row>
    <row r="6" spans="1:10" x14ac:dyDescent="0.2">
      <c r="A6" s="15" t="str">
        <f>'MM CALC'!A4</f>
        <v>OBRA: CONSTRUÇÃO DE PRAÇA PÚBLICA</v>
      </c>
      <c r="B6" s="3"/>
      <c r="C6" s="45"/>
      <c r="D6" s="94"/>
      <c r="E6" s="358"/>
      <c r="F6" s="359"/>
      <c r="G6" s="359"/>
      <c r="H6" s="359"/>
      <c r="I6" s="360"/>
    </row>
    <row r="7" spans="1:10" ht="30" customHeight="1" x14ac:dyDescent="0.2">
      <c r="A7" s="365" t="str">
        <f>'MM CALC'!A5</f>
        <v>LOCAL: RUA CORONEL JOSÉ BERNARDINHO DE OLIVEIRA, S/N, BAIRRO MATADOURO, CONCEIÇÃO DO RIO VERDE/MG</v>
      </c>
      <c r="B7" s="366"/>
      <c r="C7" s="366"/>
      <c r="D7" s="367"/>
      <c r="E7" s="356" t="s">
        <v>11</v>
      </c>
      <c r="F7" s="357"/>
      <c r="G7" s="361" t="s">
        <v>190</v>
      </c>
      <c r="H7" s="362"/>
      <c r="I7" s="352" t="s">
        <v>103</v>
      </c>
    </row>
    <row r="8" spans="1:10" x14ac:dyDescent="0.2">
      <c r="A8" s="368" t="s">
        <v>176</v>
      </c>
      <c r="B8" s="369"/>
      <c r="C8" s="369"/>
      <c r="D8" s="370"/>
      <c r="E8" s="66" t="s">
        <v>5</v>
      </c>
      <c r="F8" s="67" t="s">
        <v>3</v>
      </c>
      <c r="G8" s="363"/>
      <c r="H8" s="364"/>
      <c r="I8" s="353"/>
    </row>
    <row r="9" spans="1:10" ht="12.95" customHeight="1" x14ac:dyDescent="0.2">
      <c r="A9" s="371"/>
      <c r="B9" s="372"/>
      <c r="C9" s="372"/>
      <c r="D9" s="373"/>
      <c r="E9" s="66" t="s">
        <v>10</v>
      </c>
      <c r="F9" s="67" t="s">
        <v>4</v>
      </c>
      <c r="G9" s="342" t="s">
        <v>18</v>
      </c>
      <c r="H9" s="343">
        <v>0.2034</v>
      </c>
      <c r="I9" s="354"/>
    </row>
    <row r="10" spans="1:10" x14ac:dyDescent="0.2">
      <c r="A10" s="10"/>
      <c r="B10" s="3"/>
      <c r="C10" s="45"/>
      <c r="D10" s="95"/>
      <c r="E10" s="45"/>
      <c r="F10" s="63"/>
      <c r="G10" s="11"/>
      <c r="H10" s="11"/>
      <c r="I10" s="18"/>
    </row>
    <row r="11" spans="1:10" s="5" customFormat="1" ht="25.5" x14ac:dyDescent="0.2">
      <c r="A11" s="74" t="s">
        <v>0</v>
      </c>
      <c r="B11" s="101" t="s">
        <v>8</v>
      </c>
      <c r="C11" s="75" t="s">
        <v>2</v>
      </c>
      <c r="D11" s="96" t="s">
        <v>1</v>
      </c>
      <c r="E11" s="75" t="s">
        <v>29</v>
      </c>
      <c r="F11" s="73" t="s">
        <v>6</v>
      </c>
      <c r="G11" s="7" t="s">
        <v>12</v>
      </c>
      <c r="H11" s="7" t="s">
        <v>13</v>
      </c>
      <c r="I11" s="7" t="s">
        <v>7</v>
      </c>
      <c r="J11" s="76"/>
    </row>
    <row r="12" spans="1:10" s="167" customFormat="1" ht="11.25" x14ac:dyDescent="0.2">
      <c r="A12" s="161">
        <f>'MM CALC'!A8</f>
        <v>1</v>
      </c>
      <c r="B12" s="161"/>
      <c r="C12" s="168"/>
      <c r="D12" s="169" t="str">
        <f>'MM CALC'!D8</f>
        <v>SERVIÇOS PRELIMINARES</v>
      </c>
      <c r="E12" s="168"/>
      <c r="F12" s="159"/>
      <c r="G12" s="170"/>
      <c r="H12" s="170"/>
      <c r="I12" s="171">
        <f>SUM(I13:I13)</f>
        <v>1323.28</v>
      </c>
      <c r="J12" s="172"/>
    </row>
    <row r="13" spans="1:10" s="37" customFormat="1" ht="56.25" x14ac:dyDescent="0.2">
      <c r="A13" s="35" t="str">
        <f>'MM CALC'!A9</f>
        <v>1.1</v>
      </c>
      <c r="B13" s="35" t="str">
        <f>'MM CALC'!B9</f>
        <v>SEINFRA</v>
      </c>
      <c r="C13" s="100" t="str">
        <f>'MM CALC'!C9</f>
        <v>ED-50152</v>
      </c>
      <c r="D13" s="91" t="str">
        <f>'MM CALC'!D9</f>
        <v>FORNECIMENTO E COLOCAÇÃO DE PLACA DE OBRA EM CHAPA GALVANIZADA (3,00 X 1,5 0 M) - EM CHAPA GALVANIZADA 0,26 AFIXADAS COM REBITES 540 E PARAFUSOS 3/8, EM ESTRUTURA METÁLICA VIGA U 2" ENRIJECIDA COM METALON 20 X 20, SUPORTE EM EUCALIPTO AUTOCLAVADO PINTADAS</v>
      </c>
      <c r="E13" s="64" t="str">
        <f>'MM CALC'!E9</f>
        <v>un</v>
      </c>
      <c r="F13" s="64">
        <f>'MM CALC'!F9</f>
        <v>1</v>
      </c>
      <c r="G13" s="106">
        <v>1099.6199999999999</v>
      </c>
      <c r="H13" s="36">
        <f>ROUND((G13*(1+$H$9)),2)</f>
        <v>1323.28</v>
      </c>
      <c r="I13" s="36">
        <f>ROUND((F13*H13),2)</f>
        <v>1323.28</v>
      </c>
      <c r="J13" s="72"/>
    </row>
    <row r="14" spans="1:10" s="167" customFormat="1" ht="11.25" x14ac:dyDescent="0.2">
      <c r="A14" s="161">
        <f>'MM CALC'!A10</f>
        <v>2</v>
      </c>
      <c r="B14" s="161"/>
      <c r="C14" s="168"/>
      <c r="D14" s="290" t="str">
        <f>'MM CALC'!D10</f>
        <v>CALÇADAS</v>
      </c>
      <c r="E14" s="159"/>
      <c r="F14" s="159"/>
      <c r="G14" s="170"/>
      <c r="H14" s="291"/>
      <c r="I14" s="171">
        <f>SUM(I15:I17)</f>
        <v>18256.39</v>
      </c>
      <c r="J14" s="172"/>
    </row>
    <row r="15" spans="1:10" s="37" customFormat="1" ht="22.5" x14ac:dyDescent="0.2">
      <c r="A15" s="35" t="str">
        <f>'MM CALC'!A11</f>
        <v>2.1</v>
      </c>
      <c r="B15" s="35" t="str">
        <f>'MM CALC'!B11</f>
        <v>SEINFRA</v>
      </c>
      <c r="C15" s="100" t="str">
        <f>'MM CALC'!C11</f>
        <v>ED-51123</v>
      </c>
      <c r="D15" s="91" t="str">
        <f>'MM CALC'!D11</f>
        <v>REGULARIZAÇÃO E COMPACTAÇÃO DE TERRENO COM PLACA VIBRATÓRIA</v>
      </c>
      <c r="E15" s="64" t="str">
        <f>'MM CALC'!E11</f>
        <v>m²</v>
      </c>
      <c r="F15" s="64">
        <f>'MM CALC'!F11</f>
        <v>177.83</v>
      </c>
      <c r="G15" s="106">
        <v>2.4700000000000002</v>
      </c>
      <c r="H15" s="36">
        <f t="shared" ref="H15:H22" si="0">ROUND((G15*(1+$H$9)),2)</f>
        <v>2.97</v>
      </c>
      <c r="I15" s="36">
        <f t="shared" ref="I15:I22" si="1">ROUND((F15*H15),2)</f>
        <v>528.16</v>
      </c>
      <c r="J15" s="72"/>
    </row>
    <row r="16" spans="1:10" s="37" customFormat="1" ht="56.25" x14ac:dyDescent="0.2">
      <c r="A16" s="35" t="str">
        <f>'MM CALC'!A12</f>
        <v>2.2</v>
      </c>
      <c r="B16" s="35" t="str">
        <f>'MM CALC'!B12</f>
        <v>SINAPI</v>
      </c>
      <c r="C16" s="100">
        <f>'MM CALC'!C12</f>
        <v>94275</v>
      </c>
      <c r="D16" s="91" t="str">
        <f>'MM CALC'!D12</f>
        <v>ASSENTAMENTO DE GUIA (MEIO-FIO) EM TRECHO RETO, CONFECCIONADA EM CONCRETO PRÉ-FABRICADO, DIMENSÕES 100X15X13X20 CM (COMPRIMENTO X BASE INFERIOR X BASE SUPERIOR X ALTURA), PARA URBANIZAÇÃO INTERNA DE EMPREENDIMENTOS. AF_06/2016_P</v>
      </c>
      <c r="E16" s="64" t="str">
        <f>'MM CALC'!E12</f>
        <v>m</v>
      </c>
      <c r="F16" s="64">
        <f>'MM CALC'!F12</f>
        <v>240.55</v>
      </c>
      <c r="G16" s="36">
        <v>35.130000000000003</v>
      </c>
      <c r="H16" s="36">
        <f t="shared" si="0"/>
        <v>42.28</v>
      </c>
      <c r="I16" s="36">
        <f t="shared" si="1"/>
        <v>10170.450000000001</v>
      </c>
      <c r="J16" s="72"/>
    </row>
    <row r="17" spans="1:10" s="37" customFormat="1" ht="33.75" x14ac:dyDescent="0.2">
      <c r="A17" s="35" t="str">
        <f>'MM CALC'!A13</f>
        <v>2.3</v>
      </c>
      <c r="B17" s="35" t="str">
        <f>'MM CALC'!B13</f>
        <v>SEINFRA</v>
      </c>
      <c r="C17" s="100" t="str">
        <f>'MM CALC'!C13</f>
        <v>RO-42283</v>
      </c>
      <c r="D17" s="91" t="str">
        <f>'MM CALC'!D13</f>
        <v>PASSEIO DE CONCRETO (FCK &gt;= 11 MPA - ESPESSURA DE 6CM) (EXECUÇÃO, INCLUINDO FORNECIMENTO E TRANSPORTE DE TODOS OS MATERIAIS)</v>
      </c>
      <c r="E17" s="64" t="str">
        <f>'MM CALC'!E13</f>
        <v>m²</v>
      </c>
      <c r="F17" s="64">
        <f>'MM CALC'!F13</f>
        <v>177.83</v>
      </c>
      <c r="G17" s="106">
        <v>35.32</v>
      </c>
      <c r="H17" s="36">
        <f t="shared" si="0"/>
        <v>42.5</v>
      </c>
      <c r="I17" s="36">
        <f t="shared" si="1"/>
        <v>7557.78</v>
      </c>
      <c r="J17" s="72"/>
    </row>
    <row r="18" spans="1:10" s="167" customFormat="1" ht="11.25" x14ac:dyDescent="0.2">
      <c r="A18" s="161">
        <f>'MM CALC'!A14</f>
        <v>3</v>
      </c>
      <c r="B18" s="161"/>
      <c r="C18" s="168"/>
      <c r="D18" s="290" t="str">
        <f>'MM CALC'!D14</f>
        <v>QUADRA VOLEI DE AREIA 8 X 16</v>
      </c>
      <c r="E18" s="159"/>
      <c r="F18" s="159"/>
      <c r="G18" s="291"/>
      <c r="H18" s="291"/>
      <c r="I18" s="171">
        <f>SUM(I19:I22)</f>
        <v>5942.880000000001</v>
      </c>
      <c r="J18" s="172"/>
    </row>
    <row r="19" spans="1:10" s="37" customFormat="1" ht="11.25" x14ac:dyDescent="0.2">
      <c r="A19" s="35" t="str">
        <f>'MM CALC'!A15</f>
        <v>3.1</v>
      </c>
      <c r="B19" s="35" t="str">
        <f>'MM CALC'!B15</f>
        <v>SEINFRA</v>
      </c>
      <c r="C19" s="100" t="str">
        <f>'MM CALC'!C15</f>
        <v>ED-51110</v>
      </c>
      <c r="D19" s="91" t="str">
        <f>'MM CALC'!D15</f>
        <v>ESCAVAÇÃO MANUAL DE TERRA (DESATERRO MANUAL)</v>
      </c>
      <c r="E19" s="64" t="str">
        <f>'MM CALC'!E15</f>
        <v>m³</v>
      </c>
      <c r="F19" s="64">
        <f>'MM CALC'!F15</f>
        <v>19.2</v>
      </c>
      <c r="G19" s="36">
        <v>28.2</v>
      </c>
      <c r="H19" s="36">
        <f t="shared" si="0"/>
        <v>33.94</v>
      </c>
      <c r="I19" s="36">
        <f t="shared" si="1"/>
        <v>651.65</v>
      </c>
      <c r="J19" s="72"/>
    </row>
    <row r="20" spans="1:10" s="37" customFormat="1" ht="56.25" x14ac:dyDescent="0.2">
      <c r="A20" s="35" t="str">
        <f>'MM CALC'!A16</f>
        <v>3.2</v>
      </c>
      <c r="B20" s="35" t="str">
        <f>'MM CALC'!B16</f>
        <v>SINAPI</v>
      </c>
      <c r="C20" s="100">
        <f>'MM CALC'!C16</f>
        <v>94275</v>
      </c>
      <c r="D20" s="91" t="str">
        <f>'MM CALC'!D16</f>
        <v>ASSENTAMENTO DE GUIA (MEIO-FIO) EM TRECHO RETO, CONFECCIONADA EM CONCRETO PRÉ-FABRICADO, DIMENSÕES 100X15X13X20 CM (COMPRIMENTO X BASE INFERIOR X BASE SUPERIOR X ALTURA), PARA URBANIZAÇÃO INTERNA DE EMPREENDIMENTOS. AF_06/2016_P</v>
      </c>
      <c r="E20" s="64" t="str">
        <f>'MM CALC'!E16</f>
        <v>m</v>
      </c>
      <c r="F20" s="64">
        <f>'MM CALC'!F16</f>
        <v>48</v>
      </c>
      <c r="G20" s="36">
        <v>35.130000000000003</v>
      </c>
      <c r="H20" s="36">
        <f t="shared" si="0"/>
        <v>42.28</v>
      </c>
      <c r="I20" s="36">
        <f t="shared" si="1"/>
        <v>2029.44</v>
      </c>
      <c r="J20" s="72"/>
    </row>
    <row r="21" spans="1:10" s="37" customFormat="1" ht="11.25" x14ac:dyDescent="0.2">
      <c r="A21" s="35" t="str">
        <f>'MM CALC'!A17</f>
        <v>3.3</v>
      </c>
      <c r="B21" s="35" t="str">
        <f>'MM CALC'!B17</f>
        <v>SEINFRA</v>
      </c>
      <c r="C21" s="100" t="str">
        <f>'MM CALC'!C17</f>
        <v>ED-49814</v>
      </c>
      <c r="D21" s="91" t="str">
        <f>'MM CALC'!D17</f>
        <v>LASTRO DE AREIA</v>
      </c>
      <c r="E21" s="64" t="str">
        <f>'MM CALC'!E17</f>
        <v>m³</v>
      </c>
      <c r="F21" s="64">
        <f>'MM CALC'!F17</f>
        <v>19.2</v>
      </c>
      <c r="G21" s="106">
        <v>115.39</v>
      </c>
      <c r="H21" s="36">
        <f t="shared" si="0"/>
        <v>138.86000000000001</v>
      </c>
      <c r="I21" s="36">
        <f t="shared" si="1"/>
        <v>2666.11</v>
      </c>
      <c r="J21" s="72"/>
    </row>
    <row r="22" spans="1:10" s="37" customFormat="1" ht="11.25" x14ac:dyDescent="0.2">
      <c r="A22" s="35" t="str">
        <f>'MM CALC'!A18</f>
        <v>3.4</v>
      </c>
      <c r="B22" s="35" t="str">
        <f>'MM CALC'!B18</f>
        <v>SEINFRA</v>
      </c>
      <c r="C22" s="100" t="str">
        <f>'MM CALC'!C18</f>
        <v>ED-49572</v>
      </c>
      <c r="D22" s="91" t="str">
        <f>'MM CALC'!D18</f>
        <v>REDE DE VÔLEI COM MASTRO EM TUBO GALVANIZADO SEM PEDESTAL</v>
      </c>
      <c r="E22" s="64" t="str">
        <f>'MM CALC'!E18</f>
        <v>un</v>
      </c>
      <c r="F22" s="64">
        <f>'MM CALC'!F18</f>
        <v>1</v>
      </c>
      <c r="G22" s="106">
        <v>495</v>
      </c>
      <c r="H22" s="36">
        <f t="shared" si="0"/>
        <v>595.67999999999995</v>
      </c>
      <c r="I22" s="36">
        <f t="shared" si="1"/>
        <v>595.67999999999995</v>
      </c>
      <c r="J22" s="72"/>
    </row>
    <row r="23" spans="1:10" s="167" customFormat="1" ht="11.25" x14ac:dyDescent="0.2">
      <c r="A23" s="161">
        <f>'MM CALC'!A19</f>
        <v>4</v>
      </c>
      <c r="B23" s="161"/>
      <c r="C23" s="168"/>
      <c r="D23" s="290" t="str">
        <f>'MM CALC'!D19</f>
        <v>QUIOSQUES</v>
      </c>
      <c r="E23" s="159"/>
      <c r="F23" s="159"/>
      <c r="G23" s="170"/>
      <c r="H23" s="291"/>
      <c r="I23" s="171">
        <f>SUM(I24:I33)</f>
        <v>41440.460000000006</v>
      </c>
      <c r="J23" s="172"/>
    </row>
    <row r="24" spans="1:10" s="37" customFormat="1" ht="11.25" x14ac:dyDescent="0.2">
      <c r="A24" s="35" t="str">
        <f>'MM CALC'!A20</f>
        <v>4.1</v>
      </c>
      <c r="B24" s="35" t="str">
        <f>'MM CALC'!B20</f>
        <v>SEINFRA</v>
      </c>
      <c r="C24" s="100" t="str">
        <f>'MM CALC'!C20</f>
        <v>ED-50273</v>
      </c>
      <c r="D24" s="91" t="str">
        <f>'MM CALC'!D20</f>
        <v>LOCAÇÃO DA OBRA (GABARITO)</v>
      </c>
      <c r="E24" s="64" t="str">
        <f>'MM CALC'!E20</f>
        <v>m²</v>
      </c>
      <c r="F24" s="64">
        <f>'MM CALC'!F20</f>
        <v>68.64</v>
      </c>
      <c r="G24" s="106">
        <v>7.24</v>
      </c>
      <c r="H24" s="36">
        <f t="shared" ref="H24:H33" si="2">ROUND((G24*(1+$H$9)),2)</f>
        <v>8.7100000000000009</v>
      </c>
      <c r="I24" s="36">
        <f t="shared" ref="I24:I33" si="3">ROUND((F24*H24),2)</f>
        <v>597.85</v>
      </c>
      <c r="J24" s="72"/>
    </row>
    <row r="25" spans="1:10" s="37" customFormat="1" ht="11.25" x14ac:dyDescent="0.2">
      <c r="A25" s="35" t="str">
        <f>'MM CALC'!A21</f>
        <v>4.2</v>
      </c>
      <c r="B25" s="35" t="str">
        <f>'MM CALC'!B21</f>
        <v>SEINFRA</v>
      </c>
      <c r="C25" s="100" t="str">
        <f>'MM CALC'!C21</f>
        <v>ED-51107</v>
      </c>
      <c r="D25" s="91" t="str">
        <f>'MM CALC'!D21</f>
        <v>ESCAVAÇÃO MANUAL DE VALAS H &lt;= 1,50 M</v>
      </c>
      <c r="E25" s="64" t="str">
        <f>'MM CALC'!E21</f>
        <v>m³</v>
      </c>
      <c r="F25" s="64">
        <f>'MM CALC'!F21</f>
        <v>10.1</v>
      </c>
      <c r="G25" s="106">
        <v>47.94</v>
      </c>
      <c r="H25" s="36">
        <f t="shared" si="2"/>
        <v>57.69</v>
      </c>
      <c r="I25" s="36">
        <f t="shared" si="3"/>
        <v>582.66999999999996</v>
      </c>
      <c r="J25" s="72"/>
    </row>
    <row r="26" spans="1:10" s="37" customFormat="1" ht="22.5" x14ac:dyDescent="0.2">
      <c r="A26" s="35" t="str">
        <f>'MM CALC'!A22</f>
        <v>4.3</v>
      </c>
      <c r="B26" s="35" t="str">
        <f>'MM CALC'!B22</f>
        <v>SEINFRA</v>
      </c>
      <c r="C26" s="100" t="str">
        <f>'MM CALC'!C22</f>
        <v>ED-50859</v>
      </c>
      <c r="D26" s="91" t="str">
        <f>'MM CALC'!D22</f>
        <v>BLOCO ARMADO EM CONCRETO 20 MPA, INCLUSIVE LASTRO 5 CM EM CONCRETO MAGRO 9 MPA, FORMAS LATERAIS E DESFORMA.</v>
      </c>
      <c r="E26" s="64" t="str">
        <f>'MM CALC'!E22</f>
        <v>m³</v>
      </c>
      <c r="F26" s="64">
        <f>'MM CALC'!F22</f>
        <v>1.4</v>
      </c>
      <c r="G26" s="106">
        <v>2836.75</v>
      </c>
      <c r="H26" s="36">
        <f t="shared" si="2"/>
        <v>3413.74</v>
      </c>
      <c r="I26" s="36">
        <f t="shared" si="3"/>
        <v>4779.24</v>
      </c>
      <c r="J26" s="72"/>
    </row>
    <row r="27" spans="1:10" s="37" customFormat="1" ht="22.5" x14ac:dyDescent="0.2">
      <c r="A27" s="35" t="str">
        <f>'MM CALC'!A23</f>
        <v>4.4</v>
      </c>
      <c r="B27" s="35" t="str">
        <f>'MM CALC'!B23</f>
        <v>SEINFRA</v>
      </c>
      <c r="C27" s="100" t="str">
        <f>'MM CALC'!C23</f>
        <v>ED-50860</v>
      </c>
      <c r="D27" s="91" t="str">
        <f>'MM CALC'!D23</f>
        <v>CINTA ARMADA EM CONCRETO 20 MPA, INCLUSIVE LASTRO 5 CM EM CONCRETO MAGRO 9 MPA, FORMAS LATERAIS E DESFORMA.</v>
      </c>
      <c r="E27" s="64" t="str">
        <f>'MM CALC'!E23</f>
        <v>m³</v>
      </c>
      <c r="F27" s="64">
        <f>'MM CALC'!F23</f>
        <v>2.79</v>
      </c>
      <c r="G27" s="106">
        <v>2836.75</v>
      </c>
      <c r="H27" s="36">
        <f t="shared" si="2"/>
        <v>3413.74</v>
      </c>
      <c r="I27" s="36">
        <f t="shared" si="3"/>
        <v>9524.33</v>
      </c>
      <c r="J27" s="72"/>
    </row>
    <row r="28" spans="1:10" s="37" customFormat="1" ht="11.25" x14ac:dyDescent="0.2">
      <c r="A28" s="35" t="str">
        <f>'MM CALC'!A24</f>
        <v>4.5</v>
      </c>
      <c r="B28" s="35" t="str">
        <f>'MM CALC'!B24</f>
        <v>SEINFRA</v>
      </c>
      <c r="C28" s="100" t="str">
        <f>'MM CALC'!C24</f>
        <v>ED-51120</v>
      </c>
      <c r="D28" s="91" t="str">
        <f>'MM CALC'!D24</f>
        <v>REATERRO MANUAL DE VALA</v>
      </c>
      <c r="E28" s="64" t="str">
        <f>'MM CALC'!E24</f>
        <v>m³</v>
      </c>
      <c r="F28" s="64">
        <f>'MM CALC'!F24</f>
        <v>5.91</v>
      </c>
      <c r="G28" s="106">
        <v>47.94</v>
      </c>
      <c r="H28" s="36">
        <f t="shared" si="2"/>
        <v>57.69</v>
      </c>
      <c r="I28" s="36">
        <f t="shared" si="3"/>
        <v>340.95</v>
      </c>
      <c r="J28" s="72"/>
    </row>
    <row r="29" spans="1:10" s="37" customFormat="1" ht="22.5" x14ac:dyDescent="0.2">
      <c r="A29" s="35" t="str">
        <f>'MM CALC'!A25</f>
        <v>4.6</v>
      </c>
      <c r="B29" s="35" t="str">
        <f>'MM CALC'!B25</f>
        <v>SEINFRA</v>
      </c>
      <c r="C29" s="100" t="str">
        <f>'MM CALC'!C25</f>
        <v>ED-50842</v>
      </c>
      <c r="D29" s="91" t="str">
        <f>'MM CALC'!D25</f>
        <v>PILAR EM CONCRETO APARENTE 20 MPA, INCLUSIVE ARMAÇÃO, FORMA PLASTIFICADA E DESFORMA</v>
      </c>
      <c r="E29" s="64" t="str">
        <f>'MM CALC'!E25</f>
        <v>m³</v>
      </c>
      <c r="F29" s="64">
        <f>'MM CALC'!F25</f>
        <v>2.94</v>
      </c>
      <c r="G29" s="106">
        <v>2279.85</v>
      </c>
      <c r="H29" s="36">
        <f t="shared" si="2"/>
        <v>2743.57</v>
      </c>
      <c r="I29" s="36">
        <f t="shared" si="3"/>
        <v>8066.1</v>
      </c>
      <c r="J29" s="72"/>
    </row>
    <row r="30" spans="1:10" s="37" customFormat="1" ht="22.5" x14ac:dyDescent="0.2">
      <c r="A30" s="35" t="str">
        <f>'MM CALC'!A26</f>
        <v>4.7</v>
      </c>
      <c r="B30" s="35" t="str">
        <f>'MM CALC'!B26</f>
        <v>SEINFRA</v>
      </c>
      <c r="C30" s="100" t="str">
        <f>'MM CALC'!C26</f>
        <v>ED-50568</v>
      </c>
      <c r="D30" s="91" t="str">
        <f>'MM CALC'!D26</f>
        <v>CONTRAPISO DESEMPENADO COM ARGAMASSA, TRAÇO 1:3 (CIMENTO E AREIA), ESP. 30MM</v>
      </c>
      <c r="E30" s="64" t="str">
        <f>'MM CALC'!E26</f>
        <v>m²</v>
      </c>
      <c r="F30" s="64">
        <f>'MM CALC'!F26</f>
        <v>68.64</v>
      </c>
      <c r="G30" s="106">
        <v>29.93</v>
      </c>
      <c r="H30" s="36">
        <f t="shared" si="2"/>
        <v>36.020000000000003</v>
      </c>
      <c r="I30" s="36">
        <f t="shared" si="3"/>
        <v>2472.41</v>
      </c>
      <c r="J30" s="72"/>
    </row>
    <row r="31" spans="1:10" s="37" customFormat="1" ht="33.75" x14ac:dyDescent="0.2">
      <c r="A31" s="35" t="str">
        <f>'MM CALC'!A27</f>
        <v>4.8</v>
      </c>
      <c r="B31" s="35" t="str">
        <f>'MM CALC'!B27</f>
        <v>SINAPI</v>
      </c>
      <c r="C31" s="100">
        <f>'MM CALC'!C27</f>
        <v>98679</v>
      </c>
      <c r="D31" s="91" t="str">
        <f>'MM CALC'!D27</f>
        <v>PISO CIMENTADO, TRAÇO 1:3 (CIMENTO E AREIA), ACABAMENTO LISO, ESPESSURA 2,0 CM, PREPARO MECÂNICO DA ARGAMASSA. AF_09/2020</v>
      </c>
      <c r="E31" s="64" t="str">
        <f>'MM CALC'!E27</f>
        <v>m²</v>
      </c>
      <c r="F31" s="64">
        <f>'MM CALC'!F27</f>
        <v>68.64</v>
      </c>
      <c r="G31" s="106">
        <v>26.45</v>
      </c>
      <c r="H31" s="36">
        <f t="shared" si="2"/>
        <v>31.83</v>
      </c>
      <c r="I31" s="36">
        <f t="shared" si="3"/>
        <v>2184.81</v>
      </c>
      <c r="J31" s="72"/>
    </row>
    <row r="32" spans="1:10" s="37" customFormat="1" ht="45" x14ac:dyDescent="0.2">
      <c r="A32" s="35" t="str">
        <f>'MM CALC'!A28</f>
        <v>4.9</v>
      </c>
      <c r="B32" s="35" t="str">
        <f>'MM CALC'!B28</f>
        <v>SINAPI</v>
      </c>
      <c r="C32" s="100" t="str">
        <f>'MM CALC'!C28</f>
        <v>92540</v>
      </c>
      <c r="D32" s="91" t="str">
        <f>'MM CALC'!D28</f>
        <v>TRAMA DE MADEIRA COMPOSTA POR RIPAS, CAIBROS E TERÇAS PARA TELHADOS DE MAIS QUE 2 ÁGUAS PARA TELHA DE ENCAIXE DE CERÂMICA OU DE CONCRETO, INCLUSO TRANSPORTE VERTICAL. AF_07/2019</v>
      </c>
      <c r="E32" s="64" t="str">
        <f>'MM CALC'!E28</f>
        <v>M²</v>
      </c>
      <c r="F32" s="64">
        <f>'MM CALC'!F28</f>
        <v>82.22</v>
      </c>
      <c r="G32" s="106">
        <v>92.16</v>
      </c>
      <c r="H32" s="36">
        <f t="shared" si="2"/>
        <v>110.91</v>
      </c>
      <c r="I32" s="36">
        <f t="shared" si="3"/>
        <v>9119.02</v>
      </c>
      <c r="J32" s="72"/>
    </row>
    <row r="33" spans="1:10" s="37" customFormat="1" ht="22.5" x14ac:dyDescent="0.2">
      <c r="A33" s="35" t="str">
        <f>'MM CALC'!A29</f>
        <v>4.10</v>
      </c>
      <c r="B33" s="35" t="str">
        <f>'MM CALC'!B29</f>
        <v>SINAPI</v>
      </c>
      <c r="C33" s="100" t="str">
        <f>'MM CALC'!C29</f>
        <v>94198</v>
      </c>
      <c r="D33" s="91" t="str">
        <f>'MM CALC'!D29</f>
        <v>TELHAMENTO COM TELHA CERÂMICA DE ENCAIXE, TIPO PORTUGUESA, COM MAIS DE 2 ÁGUAS, INCLUSO TRANSPORTE VERTICAL. AF_07/2019</v>
      </c>
      <c r="E33" s="64" t="str">
        <f>'MM CALC'!E29</f>
        <v>M²</v>
      </c>
      <c r="F33" s="64">
        <f>'MM CALC'!F29</f>
        <v>82.22</v>
      </c>
      <c r="G33" s="106">
        <v>38.130000000000003</v>
      </c>
      <c r="H33" s="36">
        <f t="shared" si="2"/>
        <v>45.89</v>
      </c>
      <c r="I33" s="36">
        <f t="shared" si="3"/>
        <v>3773.08</v>
      </c>
      <c r="J33" s="72"/>
    </row>
    <row r="34" spans="1:10" s="167" customFormat="1" ht="11.25" x14ac:dyDescent="0.2">
      <c r="A34" s="161">
        <f>'MM CALC'!A30</f>
        <v>5</v>
      </c>
      <c r="B34" s="161"/>
      <c r="C34" s="168"/>
      <c r="D34" s="290" t="str">
        <f>'MM CALC'!D30</f>
        <v>PISTA DE SKATE</v>
      </c>
      <c r="E34" s="159"/>
      <c r="F34" s="159"/>
      <c r="G34" s="170"/>
      <c r="H34" s="291"/>
      <c r="I34" s="171">
        <f>SUM(I35:I51)</f>
        <v>72526.030000000013</v>
      </c>
      <c r="J34" s="172"/>
    </row>
    <row r="35" spans="1:10" s="37" customFormat="1" ht="11.25" x14ac:dyDescent="0.2">
      <c r="A35" s="35" t="str">
        <f>'MM CALC'!A31</f>
        <v>5.1</v>
      </c>
      <c r="B35" s="35" t="str">
        <f>'MM CALC'!B31</f>
        <v>SEINFRA</v>
      </c>
      <c r="C35" s="100" t="str">
        <f>'MM CALC'!C31</f>
        <v>ED-51107</v>
      </c>
      <c r="D35" s="91" t="str">
        <f>'MM CALC'!D31</f>
        <v>ESCAVAÇÃO MANUAL DE VALAS H &lt;= 1,50 M</v>
      </c>
      <c r="E35" s="64" t="str">
        <f>'MM CALC'!E31</f>
        <v>m³</v>
      </c>
      <c r="F35" s="64">
        <f>'MM CALC'!F31</f>
        <v>31.24</v>
      </c>
      <c r="G35" s="106">
        <v>47.94</v>
      </c>
      <c r="H35" s="36">
        <f t="shared" ref="H35:H51" si="4">ROUND((G35*(1+$H$9)),2)</f>
        <v>57.69</v>
      </c>
      <c r="I35" s="36">
        <f t="shared" ref="I35:I51" si="5">ROUND((F35*H35),2)</f>
        <v>1802.24</v>
      </c>
      <c r="J35" s="72"/>
    </row>
    <row r="36" spans="1:10" s="37" customFormat="1" ht="11.25" x14ac:dyDescent="0.2">
      <c r="A36" s="35" t="str">
        <f>'MM CALC'!A32</f>
        <v>5.2</v>
      </c>
      <c r="B36" s="35" t="str">
        <f>'MM CALC'!B32</f>
        <v>SEINFRA</v>
      </c>
      <c r="C36" s="100" t="str">
        <f>'MM CALC'!C32</f>
        <v>ED-48298</v>
      </c>
      <c r="D36" s="91" t="str">
        <f>'MM CALC'!D32</f>
        <v>CORTE, DOBRA E MONTAGEM DE AÇO CA-50/60</v>
      </c>
      <c r="E36" s="64" t="str">
        <f>'MM CALC'!E32</f>
        <v>kg</v>
      </c>
      <c r="F36" s="64">
        <f>'MM CALC'!F32</f>
        <v>373.42</v>
      </c>
      <c r="G36" s="106">
        <v>12.3</v>
      </c>
      <c r="H36" s="36">
        <f t="shared" si="4"/>
        <v>14.8</v>
      </c>
      <c r="I36" s="36">
        <f t="shared" ref="I36:I37" si="6">ROUND((F36*H36),2)</f>
        <v>5526.62</v>
      </c>
      <c r="J36" s="72"/>
    </row>
    <row r="37" spans="1:10" s="37" customFormat="1" ht="33.75" x14ac:dyDescent="0.2">
      <c r="A37" s="35" t="str">
        <f>'MM CALC'!A33</f>
        <v>5.3</v>
      </c>
      <c r="B37" s="35" t="str">
        <f>'MM CALC'!B33</f>
        <v>SEINFRA</v>
      </c>
      <c r="C37" s="100" t="str">
        <f>'MM CALC'!C33</f>
        <v>ED-49637</v>
      </c>
      <c r="D37" s="91" t="str">
        <f>'MM CALC'!D33</f>
        <v>FORNECIMENTO DE CONCRETO ESTRUTURAL, USINADO BOMBEADO, COM FCK 20 MPA, INCLUSIVE LANÇAMENTO, ADENSAMENTO E ACABAMENTO</v>
      </c>
      <c r="E37" s="64" t="str">
        <f>'MM CALC'!E33</f>
        <v>m³</v>
      </c>
      <c r="F37" s="64">
        <f>'MM CALC'!F33</f>
        <v>13.88</v>
      </c>
      <c r="G37" s="106">
        <v>342.73</v>
      </c>
      <c r="H37" s="36">
        <f t="shared" si="4"/>
        <v>412.44</v>
      </c>
      <c r="I37" s="36">
        <f t="shared" si="6"/>
        <v>5724.67</v>
      </c>
      <c r="J37" s="72"/>
    </row>
    <row r="38" spans="1:10" s="37" customFormat="1" ht="45" x14ac:dyDescent="0.2">
      <c r="A38" s="35" t="str">
        <f>'MM CALC'!A34</f>
        <v>5.4</v>
      </c>
      <c r="B38" s="35" t="str">
        <f>'MM CALC'!B34</f>
        <v>SEINFRA</v>
      </c>
      <c r="C38" s="100" t="str">
        <f>'MM CALC'!C34</f>
        <v>ED-48219</v>
      </c>
      <c r="D38" s="91" t="str">
        <f>'MM CALC'!D34</f>
        <v>ALVENARIA DE BLOCO DE CONCRETO CHEIO SEM ARMAÇÃO, EM CONCRETO COM FCK DE 20MPA , ESP. 14CM, PARA REVESTIMENTO, INCLUSIVE ARGAMASSA PARA ASSENTAMENTO (DETALHE D - CADERNO SEDS)</v>
      </c>
      <c r="E38" s="64" t="str">
        <f>'MM CALC'!E34</f>
        <v>m²</v>
      </c>
      <c r="F38" s="64">
        <f>'MM CALC'!F34</f>
        <v>124.06</v>
      </c>
      <c r="G38" s="106">
        <v>92.53</v>
      </c>
      <c r="H38" s="36">
        <f t="shared" si="4"/>
        <v>111.35</v>
      </c>
      <c r="I38" s="36">
        <f t="shared" ref="I38" si="7">ROUND((F38*H38),2)</f>
        <v>13814.08</v>
      </c>
      <c r="J38" s="72"/>
    </row>
    <row r="39" spans="1:10" s="37" customFormat="1" ht="45" x14ac:dyDescent="0.2">
      <c r="A39" s="35" t="str">
        <f>'MM CALC'!A35</f>
        <v>5.5</v>
      </c>
      <c r="B39" s="35" t="str">
        <f>'MM CALC'!B35</f>
        <v>SEINFRA</v>
      </c>
      <c r="C39" s="100" t="str">
        <f>'MM CALC'!C35</f>
        <v>ED-48213</v>
      </c>
      <c r="D39" s="91" t="str">
        <f>'MM CALC'!D35</f>
        <v>ALVENARIA DE BLOCO DE CONCRETO CHEIO COM ARMAÇÃO, EM CONCRETO COM FCK 15MPA , ESP. 14CM, PARA REVESTIMENTO, INCLUSIVE ARGAMASSA PARA ASSENTAMENTO (DETALHE D - CADERNO SEDS)</v>
      </c>
      <c r="E39" s="64" t="str">
        <f>'MM CALC'!E35</f>
        <v>m²</v>
      </c>
      <c r="F39" s="64">
        <f>'MM CALC'!F35</f>
        <v>28.48</v>
      </c>
      <c r="G39" s="106">
        <v>158.53</v>
      </c>
      <c r="H39" s="36">
        <f t="shared" si="4"/>
        <v>190.78</v>
      </c>
      <c r="I39" s="36">
        <f t="shared" si="5"/>
        <v>5433.41</v>
      </c>
      <c r="J39" s="72"/>
    </row>
    <row r="40" spans="1:10" s="37" customFormat="1" ht="11.25" x14ac:dyDescent="0.2">
      <c r="A40" s="35" t="str">
        <f>'MM CALC'!A36</f>
        <v>5.6</v>
      </c>
      <c r="B40" s="35" t="str">
        <f>'MM CALC'!B36</f>
        <v>SEINFRA</v>
      </c>
      <c r="C40" s="100" t="str">
        <f>'MM CALC'!C36</f>
        <v>ED-51120</v>
      </c>
      <c r="D40" s="91" t="str">
        <f>'MM CALC'!D36</f>
        <v>REATERRO MANUAL DE VALA</v>
      </c>
      <c r="E40" s="64" t="str">
        <f>'MM CALC'!E36</f>
        <v>m³</v>
      </c>
      <c r="F40" s="64">
        <f>'MM CALC'!F36</f>
        <v>9.26</v>
      </c>
      <c r="G40" s="106">
        <v>47.94</v>
      </c>
      <c r="H40" s="36">
        <f t="shared" si="4"/>
        <v>57.69</v>
      </c>
      <c r="I40" s="36">
        <f t="shared" si="5"/>
        <v>534.21</v>
      </c>
      <c r="J40" s="72"/>
    </row>
    <row r="41" spans="1:10" s="37" customFormat="1" ht="11.25" x14ac:dyDescent="0.2">
      <c r="A41" s="35" t="str">
        <f>'MM CALC'!A37</f>
        <v>5.7</v>
      </c>
      <c r="B41" s="35" t="str">
        <f>'MM CALC'!B37</f>
        <v>SEINFRA</v>
      </c>
      <c r="C41" s="100" t="str">
        <f>'MM CALC'!C37</f>
        <v>ED-51105</v>
      </c>
      <c r="D41" s="91" t="str">
        <f>'MM CALC'!D37</f>
        <v>ESCAVAÇÃO E CARGA MECANIZADA EM MATERIAL DE 1ª CATEGORIA</v>
      </c>
      <c r="E41" s="64" t="str">
        <f>'MM CALC'!E37</f>
        <v>m³</v>
      </c>
      <c r="F41" s="64">
        <f>'MM CALC'!F37</f>
        <v>113.68</v>
      </c>
      <c r="G41" s="106">
        <v>3.3</v>
      </c>
      <c r="H41" s="36">
        <f t="shared" si="4"/>
        <v>3.97</v>
      </c>
      <c r="I41" s="36">
        <f t="shared" si="5"/>
        <v>451.31</v>
      </c>
      <c r="J41" s="72"/>
    </row>
    <row r="42" spans="1:10" s="37" customFormat="1" ht="22.5" x14ac:dyDescent="0.2">
      <c r="A42" s="35" t="str">
        <f>'MM CALC'!A38</f>
        <v>5.8</v>
      </c>
      <c r="B42" s="35" t="str">
        <f>'MM CALC'!B38</f>
        <v>SEINFRA</v>
      </c>
      <c r="C42" s="100" t="str">
        <f>'MM CALC'!C38</f>
        <v>ED-51128</v>
      </c>
      <c r="D42" s="91" t="str">
        <f>'MM CALC'!D38</f>
        <v>TRANSPORTE DE MATERIAL DE QUALQUER NATUREZA EM CAMINHÃO 1 KM &lt; DMT &lt;= 2 KM (DENTRO DO PERÍMETRO URBANO)</v>
      </c>
      <c r="E42" s="64" t="str">
        <f>'MM CALC'!E38</f>
        <v>m³</v>
      </c>
      <c r="F42" s="64">
        <f>'MM CALC'!F38</f>
        <v>142.1</v>
      </c>
      <c r="G42" s="106">
        <v>11.35</v>
      </c>
      <c r="H42" s="36">
        <f t="shared" si="4"/>
        <v>13.66</v>
      </c>
      <c r="I42" s="36">
        <f t="shared" si="5"/>
        <v>1941.09</v>
      </c>
      <c r="J42" s="72"/>
    </row>
    <row r="43" spans="1:10" s="37" customFormat="1" ht="11.25" x14ac:dyDescent="0.2">
      <c r="A43" s="35" t="str">
        <f>'MM CALC'!A39</f>
        <v>5.9</v>
      </c>
      <c r="B43" s="35" t="str">
        <f>'MM CALC'!B39</f>
        <v>SEINFRA</v>
      </c>
      <c r="C43" s="100" t="str">
        <f>'MM CALC'!C39</f>
        <v>ED-51096</v>
      </c>
      <c r="D43" s="91" t="str">
        <f>'MM CALC'!D39</f>
        <v>ATERRO COMPACTADO COM PLACA VIBRATÓRIA</v>
      </c>
      <c r="E43" s="64" t="str">
        <f>'MM CALC'!E39</f>
        <v>m³</v>
      </c>
      <c r="F43" s="64">
        <f>'MM CALC'!F39</f>
        <v>135.66</v>
      </c>
      <c r="G43" s="106">
        <v>30.06</v>
      </c>
      <c r="H43" s="36">
        <f t="shared" si="4"/>
        <v>36.17</v>
      </c>
      <c r="I43" s="36">
        <f t="shared" si="5"/>
        <v>4906.82</v>
      </c>
      <c r="J43" s="72"/>
    </row>
    <row r="44" spans="1:10" s="37" customFormat="1" ht="22.5" x14ac:dyDescent="0.2">
      <c r="A44" s="35" t="str">
        <f>'MM CALC'!A40</f>
        <v>5.10</v>
      </c>
      <c r="B44" s="35" t="str">
        <f>'MM CALC'!B40</f>
        <v>SEINFRA</v>
      </c>
      <c r="C44" s="100" t="str">
        <f>'MM CALC'!C40</f>
        <v>ED-49647</v>
      </c>
      <c r="D44" s="91" t="str">
        <f>'MM CALC'!D40</f>
        <v>FORMA E DESFORMA DE COMPENSADO PLASTIFICADO, ESP. 12MM, REAPROVEITAMENTO (5X), EXCLUSIVE ESCORAMENTO</v>
      </c>
      <c r="E44" s="64" t="str">
        <f>'MM CALC'!E40</f>
        <v>m²</v>
      </c>
      <c r="F44" s="64">
        <f>'MM CALC'!F40</f>
        <v>7.64</v>
      </c>
      <c r="G44" s="106">
        <v>31.66</v>
      </c>
      <c r="H44" s="36">
        <f t="shared" si="4"/>
        <v>38.1</v>
      </c>
      <c r="I44" s="36">
        <f t="shared" ref="I44:I47" si="8">ROUND((F44*H44),2)</f>
        <v>291.08</v>
      </c>
      <c r="J44" s="72"/>
    </row>
    <row r="45" spans="1:10" s="37" customFormat="1" ht="33.75" x14ac:dyDescent="0.2">
      <c r="A45" s="35" t="str">
        <f>'MM CALC'!A41</f>
        <v>5.11</v>
      </c>
      <c r="B45" s="35" t="str">
        <f>'MM CALC'!B41</f>
        <v>SEINFRA</v>
      </c>
      <c r="C45" s="100" t="str">
        <f>'MM CALC'!C41</f>
        <v>ED-48300</v>
      </c>
      <c r="D45" s="91" t="str">
        <f>'MM CALC'!D41</f>
        <v>ARMADURA DE TELA DE AÇO CA-60 B SOLDADA TIPO Q-92 (DIÂMETRO DO FIO: 4,20 MM / DIMENSÕES DA TRAMA: 150 X 150 MM / TIPO DA MALHA: QUADRANGULAR)</v>
      </c>
      <c r="E45" s="64" t="str">
        <f>'MM CALC'!E41</f>
        <v>kg</v>
      </c>
      <c r="F45" s="64">
        <f>'MM CALC'!F41</f>
        <v>286.01</v>
      </c>
      <c r="G45" s="106">
        <v>16.88</v>
      </c>
      <c r="H45" s="36">
        <f t="shared" si="4"/>
        <v>20.309999999999999</v>
      </c>
      <c r="I45" s="36">
        <f t="shared" si="8"/>
        <v>5808.86</v>
      </c>
      <c r="J45" s="72"/>
    </row>
    <row r="46" spans="1:10" s="37" customFormat="1" ht="67.5" x14ac:dyDescent="0.2">
      <c r="A46" s="35" t="str">
        <f>'MM CALC'!A42</f>
        <v>5.12</v>
      </c>
      <c r="B46" s="35" t="str">
        <f>'MM CALC'!B42</f>
        <v>COMPOSIÇÃO</v>
      </c>
      <c r="C46" s="100" t="str">
        <f>'MM CALC'!C42</f>
        <v>001</v>
      </c>
      <c r="D46" s="91" t="str">
        <f>'MM CALC'!D42</f>
        <v>FORNECIMENTO E INSTALAÇÃO DE TUBO DE AÇO GALVANIZADO COM COSTURA, DN 2", ESPESSURA MÍNIMA *3,65* MM, PESO *5,10* KG/M (NBR 5580) COM GRAPA DE FERRO CHATO RETANGULAR, 19,05 MM X 3,17 MM (L X E), 0,47 KG/M SODADA NO TUBO E NA ARMADURA DO RADIER CONFORME PROJETO, INCLUSIVE FORNECIMENTO DE TODOS OS MATERIAIS E SERVIÇOS</v>
      </c>
      <c r="E46" s="64" t="str">
        <f>'MM CALC'!E42</f>
        <v>m</v>
      </c>
      <c r="F46" s="64">
        <f>'MM CALC'!F42</f>
        <v>24</v>
      </c>
      <c r="G46" s="106">
        <f>'COMP 1-TUBO'!H15</f>
        <v>107.39223999999999</v>
      </c>
      <c r="H46" s="36">
        <f t="shared" si="4"/>
        <v>129.24</v>
      </c>
      <c r="I46" s="36">
        <f t="shared" ref="I46" si="9">ROUND((F46*H46),2)</f>
        <v>3101.76</v>
      </c>
      <c r="J46" s="72"/>
    </row>
    <row r="47" spans="1:10" s="37" customFormat="1" ht="33.75" x14ac:dyDescent="0.2">
      <c r="A47" s="35" t="str">
        <f>'MM CALC'!A43</f>
        <v>5.13</v>
      </c>
      <c r="B47" s="35" t="str">
        <f>'MM CALC'!B43</f>
        <v>SEINFRA</v>
      </c>
      <c r="C47" s="100" t="str">
        <f>'MM CALC'!C43</f>
        <v>ED-49639</v>
      </c>
      <c r="D47" s="91" t="str">
        <f>'MM CALC'!D43</f>
        <v>FORNECIMENTO DE CONCRETO ESTRUTURAL, USINADO BOMBEADO, COM FCK 30 MPA, INCLUSIVE LANÇAMENTO, ADENSAMENTO E ACABAMENTO</v>
      </c>
      <c r="E47" s="64" t="str">
        <f>'MM CALC'!E43</f>
        <v>m³</v>
      </c>
      <c r="F47" s="64">
        <f>'MM CALC'!F43</f>
        <v>19.32</v>
      </c>
      <c r="G47" s="106">
        <v>368.88</v>
      </c>
      <c r="H47" s="36">
        <f t="shared" si="4"/>
        <v>443.91</v>
      </c>
      <c r="I47" s="36">
        <f t="shared" si="8"/>
        <v>8576.34</v>
      </c>
      <c r="J47" s="72"/>
    </row>
    <row r="48" spans="1:10" s="37" customFormat="1" ht="33.75" x14ac:dyDescent="0.2">
      <c r="A48" s="35" t="str">
        <f>'MM CALC'!A44</f>
        <v>5.14</v>
      </c>
      <c r="B48" s="35" t="str">
        <f>'MM CALC'!B44</f>
        <v>COMPOSIÇÃO</v>
      </c>
      <c r="C48" s="100" t="str">
        <f>'MM CALC'!C44</f>
        <v>002</v>
      </c>
      <c r="D48" s="91" t="str">
        <f>'MM CALC'!D44</f>
        <v>ACABAMENTO QUEIMADO COM CIMENTO PORTLAND CP IIE-32 (RESISTÊNCIA: 32,00MPA), SEM JUNTA DE DILATAÇÃO, INCLUSIVE FORNECIMENTO DE TODOS OS MATERIAIS E SERVIÇOS</v>
      </c>
      <c r="E48" s="64" t="str">
        <f>'MM CALC'!E44</f>
        <v>m²</v>
      </c>
      <c r="F48" s="64">
        <f>'MM CALC'!F44</f>
        <v>139.25</v>
      </c>
      <c r="G48" s="106">
        <f>'COMP 2-CIMENTO QUEIMADO'!H13</f>
        <v>8.807500000000001</v>
      </c>
      <c r="H48" s="36">
        <f t="shared" si="4"/>
        <v>10.6</v>
      </c>
      <c r="I48" s="36">
        <f t="shared" si="5"/>
        <v>1476.05</v>
      </c>
      <c r="J48" s="72"/>
    </row>
    <row r="49" spans="1:12" s="37" customFormat="1" ht="33.75" x14ac:dyDescent="0.2">
      <c r="A49" s="35" t="str">
        <f>'MM CALC'!A45</f>
        <v>5.15</v>
      </c>
      <c r="B49" s="35" t="str">
        <f>'MM CALC'!B45</f>
        <v>SEINFRA</v>
      </c>
      <c r="C49" s="100" t="str">
        <f>'MM CALC'!C45</f>
        <v>ED-50762</v>
      </c>
      <c r="D49" s="91" t="str">
        <f>'MM CALC'!D45</f>
        <v>REVESTIMENTO COM ARGAMASSA EM CAMADA ÚNICA, APLICADO EM PAREDE, TRAÇO 1:3 (CIMENTO E AREIA), ESP. 20MM, APLICAÇÃO MANUAL, PREPARO MECÂNICO</v>
      </c>
      <c r="E49" s="64" t="str">
        <f>'MM CALC'!E45</f>
        <v>m²</v>
      </c>
      <c r="F49" s="64">
        <f>'MM CALC'!F45</f>
        <v>63.49</v>
      </c>
      <c r="G49" s="106">
        <v>22.26</v>
      </c>
      <c r="H49" s="36">
        <f t="shared" si="4"/>
        <v>26.79</v>
      </c>
      <c r="I49" s="36">
        <f t="shared" si="5"/>
        <v>1700.9</v>
      </c>
      <c r="J49" s="72"/>
    </row>
    <row r="50" spans="1:12" s="37" customFormat="1" ht="22.5" x14ac:dyDescent="0.2">
      <c r="A50" s="35" t="str">
        <f>'MM CALC'!A46</f>
        <v>5.16</v>
      </c>
      <c r="B50" s="35" t="str">
        <f>'MM CALC'!B46</f>
        <v>SEINFRA</v>
      </c>
      <c r="C50" s="100" t="str">
        <f>'MM CALC'!C46</f>
        <v>ED-50451</v>
      </c>
      <c r="D50" s="91" t="str">
        <f>'MM CALC'!D46</f>
        <v>PINTURA ACRÍLICA EM PAREDE, DUAS (2) DEMÃOS, EXCLUSIVE SELADOR ACRÍLICO E MASSA ACRÍLICA/CORRIDA (PVA)</v>
      </c>
      <c r="E50" s="64" t="str">
        <f>'MM CALC'!E46</f>
        <v>m²</v>
      </c>
      <c r="F50" s="64">
        <f>'MM CALC'!F46</f>
        <v>63.49</v>
      </c>
      <c r="G50" s="106">
        <v>10.95</v>
      </c>
      <c r="H50" s="36">
        <f t="shared" si="4"/>
        <v>13.18</v>
      </c>
      <c r="I50" s="36">
        <f t="shared" si="5"/>
        <v>836.8</v>
      </c>
      <c r="J50" s="72"/>
    </row>
    <row r="51" spans="1:12" s="37" customFormat="1" ht="11.25" x14ac:dyDescent="0.2">
      <c r="A51" s="35" t="str">
        <f>'MM CALC'!A47</f>
        <v>5.17</v>
      </c>
      <c r="B51" s="35" t="str">
        <f>'MM CALC'!B47</f>
        <v>SEINFRA</v>
      </c>
      <c r="C51" s="100" t="str">
        <f>'MM CALC'!C47</f>
        <v>ED-50792</v>
      </c>
      <c r="D51" s="91" t="str">
        <f>'MM CALC'!D47</f>
        <v>GUARDA-CORPO - PADRÃO SEDS</v>
      </c>
      <c r="E51" s="64" t="str">
        <f>'MM CALC'!E47</f>
        <v>m</v>
      </c>
      <c r="F51" s="64">
        <f>'MM CALC'!F47</f>
        <v>29</v>
      </c>
      <c r="G51" s="106">
        <v>303.73</v>
      </c>
      <c r="H51" s="36">
        <f t="shared" si="4"/>
        <v>365.51</v>
      </c>
      <c r="I51" s="36">
        <f t="shared" si="5"/>
        <v>10599.79</v>
      </c>
      <c r="J51" s="72"/>
    </row>
    <row r="52" spans="1:12" s="167" customFormat="1" ht="11.25" x14ac:dyDescent="0.2">
      <c r="A52" s="161">
        <f>'MM CALC'!A48</f>
        <v>6</v>
      </c>
      <c r="B52" s="161"/>
      <c r="C52" s="168"/>
      <c r="D52" s="290" t="str">
        <f>'MM CALC'!D48</f>
        <v>MOBILIÁRIO E ILUMINAÇÃO</v>
      </c>
      <c r="E52" s="159"/>
      <c r="F52" s="159"/>
      <c r="G52" s="170"/>
      <c r="H52" s="291"/>
      <c r="I52" s="171">
        <f>SUM(I53:I54)</f>
        <v>13286.34</v>
      </c>
      <c r="J52" s="172"/>
    </row>
    <row r="53" spans="1:12" s="37" customFormat="1" ht="33.75" x14ac:dyDescent="0.2">
      <c r="A53" s="35" t="str">
        <f>'MM CALC'!A49</f>
        <v>6.1</v>
      </c>
      <c r="B53" s="35" t="str">
        <f>'MM CALC'!B49</f>
        <v>SEINFRA</v>
      </c>
      <c r="C53" s="100" t="str">
        <f>'MM CALC'!C49</f>
        <v>ED-15449</v>
      </c>
      <c r="D53" s="91" t="str">
        <f>'MM CALC'!D49</f>
        <v>BANCO EM CONCRETO APARENTE, SEM ENCOSTO, POLIDO COM ACABAMENTO EM VERNIZ, ESP. 8CM, COMPRIMENTO 200CM, LARGURA 40CM, ALTURA 55CM, EXCLUSIVE FIXAÇÃO EM PISO</v>
      </c>
      <c r="E53" s="64" t="str">
        <f>'MM CALC'!E49</f>
        <v>Unid.</v>
      </c>
      <c r="F53" s="64">
        <f>'MM CALC'!F49</f>
        <v>5</v>
      </c>
      <c r="G53" s="106">
        <v>234.14</v>
      </c>
      <c r="H53" s="36">
        <f t="shared" ref="H53:H54" si="10">ROUND((G53*(1+$H$9)),2)</f>
        <v>281.76</v>
      </c>
      <c r="I53" s="36">
        <f t="shared" ref="I53:I54" si="11">ROUND((F53*H53),2)</f>
        <v>1408.8</v>
      </c>
      <c r="J53" s="72"/>
    </row>
    <row r="54" spans="1:12" s="37" customFormat="1" ht="67.5" x14ac:dyDescent="0.2">
      <c r="A54" s="35" t="str">
        <f>'MM CALC'!A50</f>
        <v>6.2</v>
      </c>
      <c r="B54" s="35" t="str">
        <f>'MM CALC'!B50</f>
        <v>COMPOSIÇÃO</v>
      </c>
      <c r="C54" s="100" t="str">
        <f>'MM CALC'!C50</f>
        <v>002</v>
      </c>
      <c r="D54" s="91" t="str">
        <f>'MM CALC'!D50</f>
        <v>FORNECIMENTO E INSTALAÇÃO DE CONJUNTO DE POSTE CONICO CONTINUO EM ACO GALVANIZADO, CURVO, BRACO SIMPLES, H = 7 M, DIAMETRO INFERIOR = *125* MM, ENGASTADO, ALTURA LIVRE 7,00 M, COM UMA LUMINÁRIA SOLAR PARA ILUMINAÇÃO PÚBLICA LED 150W PARA POSTE, INCLUSIVE ESCAVAÇÃO E CONCRETAGEM PARA ENGASTAMENTO DO POSTE</v>
      </c>
      <c r="E54" s="64" t="str">
        <f>'MM CALC'!E50</f>
        <v>cj</v>
      </c>
      <c r="F54" s="64">
        <f>'MM CALC'!F50</f>
        <v>6</v>
      </c>
      <c r="G54" s="106">
        <f>'COMP 3-LUNINÁRIA SOLAR C POSTE'!I22</f>
        <v>1645</v>
      </c>
      <c r="H54" s="36">
        <f t="shared" si="10"/>
        <v>1979.59</v>
      </c>
      <c r="I54" s="36">
        <f t="shared" si="11"/>
        <v>11877.54</v>
      </c>
      <c r="J54" s="72"/>
    </row>
    <row r="55" spans="1:12" s="37" customFormat="1" ht="11.25" x14ac:dyDescent="0.2">
      <c r="A55" s="124"/>
      <c r="B55" s="125"/>
      <c r="C55" s="126"/>
      <c r="D55" s="127"/>
      <c r="E55" s="128"/>
      <c r="F55" s="128"/>
      <c r="G55" s="129"/>
      <c r="H55" s="130" t="s">
        <v>7</v>
      </c>
      <c r="I55" s="116">
        <f>I12+I14+I18+I23+I34+I52</f>
        <v>152775.38000000003</v>
      </c>
      <c r="J55" s="72"/>
    </row>
    <row r="56" spans="1:12" s="37" customFormat="1" x14ac:dyDescent="0.2">
      <c r="A56" s="205"/>
      <c r="B56" s="160"/>
      <c r="C56" s="112"/>
      <c r="D56" s="206"/>
      <c r="E56" s="206"/>
      <c r="F56" s="49"/>
      <c r="G56" s="207"/>
      <c r="H56" s="86"/>
      <c r="I56" s="208"/>
      <c r="J56" s="72"/>
      <c r="K56" s="69">
        <v>150000</v>
      </c>
      <c r="L56" s="58" t="s">
        <v>24</v>
      </c>
    </row>
    <row r="57" spans="1:12" x14ac:dyDescent="0.2">
      <c r="A57" s="21"/>
      <c r="B57" s="105"/>
      <c r="C57" s="46"/>
      <c r="D57" s="82"/>
      <c r="E57" s="82"/>
      <c r="F57" s="113"/>
      <c r="G57" s="83"/>
      <c r="H57" s="84"/>
      <c r="I57" s="85"/>
      <c r="K57" s="69">
        <f>I55-K56</f>
        <v>2775.3800000000338</v>
      </c>
      <c r="L57" s="58" t="s">
        <v>23</v>
      </c>
    </row>
    <row r="58" spans="1:12" x14ac:dyDescent="0.2">
      <c r="A58" s="21"/>
      <c r="B58" s="105"/>
      <c r="C58" s="46"/>
      <c r="D58" s="82"/>
      <c r="E58" s="82"/>
      <c r="F58" s="113"/>
      <c r="G58" s="83"/>
      <c r="H58" s="84"/>
      <c r="I58" s="85"/>
      <c r="K58" s="341">
        <f>K57/K56</f>
        <v>1.8502533333333557E-2</v>
      </c>
      <c r="L58" s="58" t="s">
        <v>270</v>
      </c>
    </row>
    <row r="59" spans="1:12" x14ac:dyDescent="0.2">
      <c r="A59" s="21"/>
      <c r="B59" s="105"/>
      <c r="C59" s="46"/>
      <c r="D59" s="82"/>
      <c r="E59" s="82"/>
      <c r="F59" s="113"/>
      <c r="G59" s="83"/>
      <c r="H59" s="84"/>
      <c r="I59" s="85"/>
    </row>
    <row r="60" spans="1:12" x14ac:dyDescent="0.2">
      <c r="A60" s="21"/>
      <c r="B60" s="105"/>
      <c r="C60" s="46"/>
      <c r="D60" s="82"/>
      <c r="E60" s="82"/>
      <c r="F60" s="113"/>
      <c r="G60" s="83"/>
      <c r="H60" s="84"/>
      <c r="I60" s="85"/>
      <c r="K60" s="69">
        <f>K56*0.01</f>
        <v>1500</v>
      </c>
      <c r="L60" s="58" t="s">
        <v>47</v>
      </c>
    </row>
    <row r="61" spans="1:12" s="137" customFormat="1" ht="15.75" x14ac:dyDescent="0.25">
      <c r="A61" s="139"/>
      <c r="B61" s="119"/>
      <c r="C61" s="117" t="str">
        <f>'MM CALC'!D55</f>
        <v>___________________________________________</v>
      </c>
      <c r="D61" s="140"/>
      <c r="F61" s="141"/>
      <c r="G61" s="118" t="str">
        <f>'MM CALC'!G55</f>
        <v>___________________________________________</v>
      </c>
      <c r="H61" s="119"/>
      <c r="I61" s="142"/>
      <c r="J61" s="144"/>
    </row>
    <row r="62" spans="1:12" s="137" customFormat="1" ht="15.75" x14ac:dyDescent="0.25">
      <c r="A62" s="139"/>
      <c r="B62" s="119"/>
      <c r="C62" s="120" t="str">
        <f>'MM CALC'!D56</f>
        <v>Wanderson Soares da Silva</v>
      </c>
      <c r="D62" s="140"/>
      <c r="F62" s="141"/>
      <c r="G62" s="121" t="str">
        <f>'MM CALC'!G56</f>
        <v>Pedro Paulo</v>
      </c>
      <c r="H62" s="122"/>
      <c r="I62" s="142"/>
      <c r="J62" s="144"/>
    </row>
    <row r="63" spans="1:12" s="137" customFormat="1" ht="15.75" x14ac:dyDescent="0.2">
      <c r="A63" s="139"/>
      <c r="B63" s="119"/>
      <c r="C63" s="119" t="str">
        <f>'MM CALC'!D57</f>
        <v>Engenheiro Civil - CREA/SP nº  5069777653/D</v>
      </c>
      <c r="D63" s="140"/>
      <c r="F63" s="141"/>
      <c r="G63" s="123" t="str">
        <f>'MM CALC'!G57</f>
        <v>Prefeito Municipal de Conceição do Rio Verde</v>
      </c>
      <c r="H63" s="119"/>
      <c r="I63" s="142"/>
      <c r="J63" s="144"/>
    </row>
    <row r="64" spans="1:12" x14ac:dyDescent="0.2">
      <c r="A64" s="19"/>
      <c r="B64" s="20"/>
      <c r="C64" s="47"/>
      <c r="D64" s="32"/>
      <c r="E64" s="87"/>
      <c r="F64" s="114"/>
      <c r="G64" s="88"/>
      <c r="H64" s="89"/>
      <c r="I64" s="90"/>
    </row>
    <row r="65" spans="4:9" x14ac:dyDescent="0.2">
      <c r="D65" s="97"/>
    </row>
    <row r="66" spans="4:9" x14ac:dyDescent="0.2">
      <c r="D66" s="98"/>
    </row>
    <row r="69" spans="4:9" x14ac:dyDescent="0.2">
      <c r="I69" s="107"/>
    </row>
  </sheetData>
  <autoFilter ref="A11:I55"/>
  <mergeCells count="8">
    <mergeCell ref="E1:H1"/>
    <mergeCell ref="I7:I9"/>
    <mergeCell ref="A3:I3"/>
    <mergeCell ref="E7:F7"/>
    <mergeCell ref="E6:I6"/>
    <mergeCell ref="G7:H8"/>
    <mergeCell ref="A7:D7"/>
    <mergeCell ref="A8:D9"/>
  </mergeCells>
  <phoneticPr fontId="22" type="noConversion"/>
  <printOptions horizontalCentered="1"/>
  <pageMargins left="0.59055118110236227" right="0.19685039370078741" top="0.98425196850393704" bottom="0.86614173228346458" header="0.31496062992125984" footer="0.31496062992125984"/>
  <pageSetup paperSize="9" fitToHeight="0" orientation="landscape" r:id="rId1"/>
  <headerFooter alignWithMargins="0">
    <oddFooter>&amp;C
Página &amp;P de &amp;N</oddFooter>
  </headerFooter>
  <ignoredErrors>
    <ignoredError sqref="I14:I5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showGridLines="0" view="pageBreakPreview" zoomScale="70" zoomScaleNormal="75" zoomScaleSheetLayoutView="70" workbookViewId="0">
      <selection activeCell="K14" sqref="K14"/>
    </sheetView>
  </sheetViews>
  <sheetFormatPr defaultColWidth="9.140625" defaultRowHeight="12.75" x14ac:dyDescent="0.2"/>
  <cols>
    <col min="1" max="1" width="7.5703125" style="13" customWidth="1"/>
    <col min="2" max="2" width="50.42578125" style="43" customWidth="1"/>
    <col min="3" max="3" width="15.5703125" style="13" customWidth="1"/>
    <col min="4" max="4" width="16" style="13" customWidth="1"/>
    <col min="5" max="6" width="14.5703125" style="13" customWidth="1"/>
    <col min="7" max="7" width="15.85546875" style="13" customWidth="1"/>
    <col min="8" max="8" width="9.140625" style="13"/>
    <col min="9" max="9" width="11" style="13" bestFit="1" customWidth="1"/>
    <col min="10" max="16384" width="9.140625" style="13"/>
  </cols>
  <sheetData>
    <row r="1" spans="1:9" s="12" customFormat="1" ht="69.95" customHeight="1" x14ac:dyDescent="0.2">
      <c r="A1" s="25"/>
      <c r="B1" s="53"/>
      <c r="C1" s="50"/>
      <c r="D1" s="383" t="s">
        <v>269</v>
      </c>
      <c r="E1" s="383"/>
      <c r="F1" s="383"/>
      <c r="G1" s="336"/>
    </row>
    <row r="2" spans="1:9" s="12" customFormat="1" ht="3" customHeight="1" x14ac:dyDescent="0.2">
      <c r="A2" s="25"/>
      <c r="B2" s="53"/>
      <c r="C2" s="50"/>
      <c r="D2" s="50"/>
      <c r="E2" s="50"/>
      <c r="F2" s="50"/>
      <c r="G2" s="26"/>
    </row>
    <row r="3" spans="1:9" s="12" customFormat="1" ht="15" customHeight="1" x14ac:dyDescent="0.2">
      <c r="A3" s="358" t="s">
        <v>22</v>
      </c>
      <c r="B3" s="359"/>
      <c r="C3" s="359"/>
      <c r="D3" s="359"/>
      <c r="E3" s="359"/>
      <c r="F3" s="359"/>
      <c r="G3" s="360"/>
      <c r="H3" s="16"/>
    </row>
    <row r="4" spans="1:9" s="12" customFormat="1" ht="3" customHeight="1" x14ac:dyDescent="0.2">
      <c r="A4" s="27"/>
      <c r="B4" s="40"/>
      <c r="C4" s="3"/>
      <c r="D4" s="3"/>
      <c r="E4" s="3"/>
      <c r="F4" s="3"/>
      <c r="G4" s="28"/>
      <c r="H4" s="16"/>
    </row>
    <row r="5" spans="1:9" s="12" customFormat="1" ht="15" customHeight="1" x14ac:dyDescent="0.2">
      <c r="A5" s="2" t="str">
        <f>'PLAN ORÇ'!A5</f>
        <v>PREFEITURA MUNICIPAL DE CONCEIÇÃO DO RIO VERDE</v>
      </c>
      <c r="B5" s="1"/>
      <c r="C5" s="29" t="s">
        <v>9</v>
      </c>
      <c r="D5" s="135">
        <f>'PLAN ORÇ'!I55</f>
        <v>152775.38000000003</v>
      </c>
      <c r="E5" s="52"/>
      <c r="F5" s="27" t="str">
        <f>'MM CALC'!E3</f>
        <v>DATA: 14/06/2021</v>
      </c>
      <c r="G5" s="198"/>
    </row>
    <row r="6" spans="1:9" s="12" customFormat="1" ht="15" customHeight="1" x14ac:dyDescent="0.2">
      <c r="A6" s="27" t="str">
        <f>'MM CALC'!A4</f>
        <v>OBRA: CONSTRUÇÃO DE PRAÇA PÚBLICA</v>
      </c>
      <c r="B6" s="40"/>
      <c r="C6" s="34"/>
      <c r="D6" s="52"/>
      <c r="E6" s="52"/>
      <c r="F6" s="34"/>
      <c r="G6" s="28"/>
    </row>
    <row r="7" spans="1:9" s="12" customFormat="1" ht="15" customHeight="1" x14ac:dyDescent="0.2">
      <c r="A7" s="27" t="str">
        <f>'MM CALC'!A5</f>
        <v>LOCAL: RUA CORONEL JOSÉ BERNARDINHO DE OLIVEIRA, S/N, BAIRRO MATADOURO, CONCEIÇÃO DO RIO VERDE/MG</v>
      </c>
      <c r="B7" s="40"/>
      <c r="C7" s="3"/>
      <c r="D7" s="3"/>
      <c r="E7" s="3"/>
      <c r="F7" s="3"/>
      <c r="G7" s="28"/>
    </row>
    <row r="8" spans="1:9" s="12" customFormat="1" ht="15" customHeight="1" x14ac:dyDescent="0.2">
      <c r="A8" s="379" t="s">
        <v>0</v>
      </c>
      <c r="B8" s="381" t="s">
        <v>1</v>
      </c>
      <c r="C8" s="379" t="s">
        <v>19</v>
      </c>
      <c r="D8" s="379" t="s">
        <v>15</v>
      </c>
      <c r="E8" s="379" t="s">
        <v>16</v>
      </c>
      <c r="F8" s="379" t="s">
        <v>17</v>
      </c>
      <c r="G8" s="379" t="s">
        <v>7</v>
      </c>
    </row>
    <row r="9" spans="1:9" ht="15" customHeight="1" x14ac:dyDescent="0.2">
      <c r="A9" s="380"/>
      <c r="B9" s="382"/>
      <c r="C9" s="380"/>
      <c r="D9" s="380"/>
      <c r="E9" s="380"/>
      <c r="F9" s="380"/>
      <c r="G9" s="380"/>
    </row>
    <row r="10" spans="1:9" ht="15" customHeight="1" x14ac:dyDescent="0.2">
      <c r="A10" s="376">
        <f>'PLAN ORÇ'!A12</f>
        <v>1</v>
      </c>
      <c r="B10" s="377" t="str">
        <f>'PLAN ORÇ'!D12</f>
        <v>SERVIÇOS PRELIMINARES</v>
      </c>
      <c r="C10" s="24">
        <f>C11/$C$23</f>
        <v>8.6616050308629556E-3</v>
      </c>
      <c r="D10" s="24">
        <v>1</v>
      </c>
      <c r="E10" s="24"/>
      <c r="F10" s="24"/>
      <c r="G10" s="24">
        <f>SUM(D10:F10)</f>
        <v>1</v>
      </c>
    </row>
    <row r="11" spans="1:9" ht="15" customHeight="1" x14ac:dyDescent="0.2">
      <c r="A11" s="376"/>
      <c r="B11" s="378"/>
      <c r="C11" s="22">
        <f>'PLAN ORÇ'!I12</f>
        <v>1323.28</v>
      </c>
      <c r="D11" s="22">
        <f>D10*$C$11</f>
        <v>1323.28</v>
      </c>
      <c r="E11" s="22"/>
      <c r="F11" s="22"/>
      <c r="G11" s="22">
        <f>ROUND(SUM(D11:F11),2)</f>
        <v>1323.28</v>
      </c>
      <c r="I11" s="30"/>
    </row>
    <row r="12" spans="1:9" ht="15" customHeight="1" x14ac:dyDescent="0.2">
      <c r="A12" s="376">
        <f>'PLAN ORÇ'!A14</f>
        <v>2</v>
      </c>
      <c r="B12" s="377" t="str">
        <f>'PLAN ORÇ'!D14</f>
        <v>CALÇADAS</v>
      </c>
      <c r="C12" s="24">
        <f>C13/$C$23</f>
        <v>0.11949824637975043</v>
      </c>
      <c r="D12" s="24">
        <v>1</v>
      </c>
      <c r="E12" s="24"/>
      <c r="F12" s="24"/>
      <c r="G12" s="24">
        <f>SUM(D12:F12)</f>
        <v>1</v>
      </c>
    </row>
    <row r="13" spans="1:9" ht="15" customHeight="1" x14ac:dyDescent="0.2">
      <c r="A13" s="376"/>
      <c r="B13" s="378"/>
      <c r="C13" s="22">
        <f>'PLAN ORÇ'!I14</f>
        <v>18256.39</v>
      </c>
      <c r="D13" s="22">
        <f>D12*$C$13</f>
        <v>18256.39</v>
      </c>
      <c r="E13" s="22"/>
      <c r="F13" s="22"/>
      <c r="G13" s="22">
        <f>ROUND(SUM(D13:F13),2)</f>
        <v>18256.39</v>
      </c>
      <c r="I13" s="30"/>
    </row>
    <row r="14" spans="1:9" ht="15" customHeight="1" x14ac:dyDescent="0.2">
      <c r="A14" s="376">
        <f>'PLAN ORÇ'!A18</f>
        <v>3</v>
      </c>
      <c r="B14" s="377" t="str">
        <f>'PLAN ORÇ'!D18</f>
        <v>QUADRA VOLEI DE AREIA 8 X 16</v>
      </c>
      <c r="C14" s="24">
        <f>C15/$C$23</f>
        <v>3.8899461418456294E-2</v>
      </c>
      <c r="D14" s="24">
        <v>1</v>
      </c>
      <c r="E14" s="24"/>
      <c r="F14" s="24"/>
      <c r="G14" s="24">
        <f>SUM(D14:F14)</f>
        <v>1</v>
      </c>
    </row>
    <row r="15" spans="1:9" ht="15" customHeight="1" x14ac:dyDescent="0.2">
      <c r="A15" s="376"/>
      <c r="B15" s="378"/>
      <c r="C15" s="22">
        <f>'PLAN ORÇ'!I18</f>
        <v>5942.880000000001</v>
      </c>
      <c r="D15" s="22">
        <f>D14*$C$15</f>
        <v>5942.880000000001</v>
      </c>
      <c r="E15" s="22"/>
      <c r="F15" s="22"/>
      <c r="G15" s="22">
        <f>ROUND(SUM(D15:F15),2)</f>
        <v>5942.88</v>
      </c>
      <c r="I15" s="30"/>
    </row>
    <row r="16" spans="1:9" ht="15" customHeight="1" x14ac:dyDescent="0.2">
      <c r="A16" s="376">
        <f>'PLAN ORÇ'!A23</f>
        <v>4</v>
      </c>
      <c r="B16" s="377" t="str">
        <f>'PLAN ORÇ'!D23</f>
        <v>QUIOSQUES</v>
      </c>
      <c r="C16" s="24">
        <f>C17/$C$23</f>
        <v>0.27125090443237648</v>
      </c>
      <c r="D16" s="24">
        <v>0.38</v>
      </c>
      <c r="E16" s="24">
        <v>0.31</v>
      </c>
      <c r="F16" s="24">
        <v>0.31</v>
      </c>
      <c r="G16" s="24">
        <f>SUM(D16:F16)</f>
        <v>1</v>
      </c>
    </row>
    <row r="17" spans="1:9" ht="15" customHeight="1" x14ac:dyDescent="0.2">
      <c r="A17" s="376"/>
      <c r="B17" s="378"/>
      <c r="C17" s="22">
        <f>'PLAN ORÇ'!I23</f>
        <v>41440.460000000006</v>
      </c>
      <c r="D17" s="22">
        <f>D16*$C$17</f>
        <v>15747.374800000003</v>
      </c>
      <c r="E17" s="22">
        <f>E16*$C$17</f>
        <v>12846.542600000002</v>
      </c>
      <c r="F17" s="22">
        <f>F16*$C$17</f>
        <v>12846.542600000002</v>
      </c>
      <c r="G17" s="22">
        <f>ROUND(SUM(D17:F17),2)</f>
        <v>41440.46</v>
      </c>
      <c r="I17" s="30"/>
    </row>
    <row r="18" spans="1:9" ht="15" customHeight="1" x14ac:dyDescent="0.2">
      <c r="A18" s="376">
        <f>'PLAN ORÇ'!A34</f>
        <v>5</v>
      </c>
      <c r="B18" s="377" t="str">
        <f>'PLAN ORÇ'!D34</f>
        <v>PISTA DE SKATE</v>
      </c>
      <c r="C18" s="24">
        <f>C19/$C$23</f>
        <v>0.47472328329342067</v>
      </c>
      <c r="D18" s="24">
        <v>0.2</v>
      </c>
      <c r="E18" s="24">
        <v>0.4</v>
      </c>
      <c r="F18" s="24">
        <v>0.4</v>
      </c>
      <c r="G18" s="24">
        <f>SUM(D18:F18)</f>
        <v>1</v>
      </c>
    </row>
    <row r="19" spans="1:9" ht="15" customHeight="1" x14ac:dyDescent="0.2">
      <c r="A19" s="376"/>
      <c r="B19" s="378"/>
      <c r="C19" s="22">
        <f>'PLAN ORÇ'!I34</f>
        <v>72526.030000000013</v>
      </c>
      <c r="D19" s="22">
        <f>D18*$C$19</f>
        <v>14505.206000000004</v>
      </c>
      <c r="E19" s="22">
        <f>E18*$C$19</f>
        <v>29010.412000000008</v>
      </c>
      <c r="F19" s="22">
        <f>F18*$C$19</f>
        <v>29010.412000000008</v>
      </c>
      <c r="G19" s="22">
        <f>ROUND(SUM(D19:F19),2)</f>
        <v>72526.03</v>
      </c>
      <c r="I19" s="30"/>
    </row>
    <row r="20" spans="1:9" ht="15" customHeight="1" x14ac:dyDescent="0.2">
      <c r="A20" s="376">
        <f>'PLAN ORÇ'!A52</f>
        <v>6</v>
      </c>
      <c r="B20" s="377" t="str">
        <f>'PLAN ORÇ'!D52</f>
        <v>MOBILIÁRIO E ILUMINAÇÃO</v>
      </c>
      <c r="C20" s="24">
        <f>C21/$C$23</f>
        <v>8.6966499445133086E-2</v>
      </c>
      <c r="D20" s="24"/>
      <c r="E20" s="24">
        <v>0.5</v>
      </c>
      <c r="F20" s="24">
        <v>0.5</v>
      </c>
      <c r="G20" s="24">
        <f>SUM(D20:F20)</f>
        <v>1</v>
      </c>
    </row>
    <row r="21" spans="1:9" ht="15" customHeight="1" x14ac:dyDescent="0.2">
      <c r="A21" s="376"/>
      <c r="B21" s="378"/>
      <c r="C21" s="22">
        <f>'PLAN ORÇ'!I52</f>
        <v>13286.34</v>
      </c>
      <c r="D21" s="22"/>
      <c r="E21" s="22">
        <f>E20*$C$21</f>
        <v>6643.17</v>
      </c>
      <c r="F21" s="22">
        <f>F20*$C$21</f>
        <v>6643.17</v>
      </c>
      <c r="G21" s="22">
        <f>ROUND(SUM(D21:F21),2)</f>
        <v>13286.34</v>
      </c>
      <c r="I21" s="30"/>
    </row>
    <row r="22" spans="1:9" ht="15" customHeight="1" x14ac:dyDescent="0.2">
      <c r="A22" s="374" t="s">
        <v>7</v>
      </c>
      <c r="B22" s="374"/>
      <c r="C22" s="68">
        <f>C10+C12+C14+C16+C18+C20</f>
        <v>1</v>
      </c>
      <c r="D22" s="68">
        <f>D23/$C$23</f>
        <v>0.36507931317205689</v>
      </c>
      <c r="E22" s="68">
        <f>E23/$C$23</f>
        <v>0.31746034341397156</v>
      </c>
      <c r="F22" s="68">
        <f>F23/$C$23</f>
        <v>0.31746034341397156</v>
      </c>
      <c r="G22" s="131">
        <f>SUM(D22:F22)</f>
        <v>1</v>
      </c>
    </row>
    <row r="23" spans="1:9" ht="15" customHeight="1" x14ac:dyDescent="0.2">
      <c r="A23" s="375"/>
      <c r="B23" s="375"/>
      <c r="C23" s="133">
        <f>C11+C13+C15+C17+C19+C21</f>
        <v>152775.38000000003</v>
      </c>
      <c r="D23" s="23">
        <f t="shared" ref="D23:F23" si="0">D11+D13+D15+D17+D19+D21</f>
        <v>55775.130800000006</v>
      </c>
      <c r="E23" s="23">
        <f t="shared" si="0"/>
        <v>48500.12460000001</v>
      </c>
      <c r="F23" s="23">
        <f t="shared" si="0"/>
        <v>48500.12460000001</v>
      </c>
      <c r="G23" s="134">
        <f>SUM(D23:F23)</f>
        <v>152775.38000000003</v>
      </c>
    </row>
    <row r="24" spans="1:9" x14ac:dyDescent="0.2">
      <c r="A24" s="77"/>
      <c r="B24" s="41"/>
      <c r="C24" s="78"/>
      <c r="D24" s="78"/>
      <c r="E24" s="78"/>
      <c r="F24" s="78"/>
      <c r="G24" s="81"/>
    </row>
    <row r="25" spans="1:9" x14ac:dyDescent="0.2">
      <c r="A25" s="77"/>
      <c r="B25" s="41"/>
      <c r="C25" s="78"/>
      <c r="D25" s="78"/>
      <c r="E25" s="78"/>
      <c r="F25" s="78"/>
      <c r="G25" s="81"/>
    </row>
    <row r="26" spans="1:9" x14ac:dyDescent="0.2">
      <c r="A26" s="77"/>
      <c r="B26" s="41"/>
      <c r="C26" s="78"/>
      <c r="D26" s="78"/>
      <c r="E26" s="78"/>
      <c r="F26" s="78"/>
      <c r="G26" s="81"/>
    </row>
    <row r="27" spans="1:9" x14ac:dyDescent="0.2">
      <c r="A27" s="77"/>
      <c r="B27" s="41"/>
      <c r="C27" s="78"/>
      <c r="D27" s="78"/>
      <c r="E27" s="78"/>
      <c r="F27" s="78"/>
      <c r="G27" s="81"/>
    </row>
    <row r="28" spans="1:9" x14ac:dyDescent="0.2">
      <c r="A28" s="77"/>
      <c r="B28" s="41"/>
      <c r="C28" s="78"/>
      <c r="D28" s="78"/>
      <c r="E28" s="78"/>
      <c r="F28" s="78"/>
      <c r="G28" s="81"/>
    </row>
    <row r="29" spans="1:9" x14ac:dyDescent="0.2">
      <c r="A29" s="77"/>
      <c r="B29" s="41"/>
      <c r="C29" s="78"/>
      <c r="D29" s="78"/>
      <c r="E29" s="78"/>
      <c r="F29" s="78"/>
      <c r="G29" s="81"/>
    </row>
    <row r="30" spans="1:9" s="137" customFormat="1" ht="15.75" x14ac:dyDescent="0.25">
      <c r="A30" s="145"/>
      <c r="B30" s="119" t="str">
        <f>'MM CALC'!D55</f>
        <v>___________________________________________</v>
      </c>
      <c r="C30" s="138"/>
      <c r="D30" s="138"/>
      <c r="E30" s="146" t="str">
        <f>'MM CALC'!G55</f>
        <v>___________________________________________</v>
      </c>
      <c r="F30" s="117"/>
      <c r="G30" s="147"/>
      <c r="I30" s="143"/>
    </row>
    <row r="31" spans="1:9" s="152" customFormat="1" ht="15.75" x14ac:dyDescent="0.2">
      <c r="A31" s="148"/>
      <c r="B31" s="120" t="str">
        <f>'MM CALC'!D56</f>
        <v>Wanderson Soares da Silva</v>
      </c>
      <c r="C31" s="149"/>
      <c r="D31" s="149"/>
      <c r="E31" s="150" t="str">
        <f>'MM CALC'!G56</f>
        <v>Pedro Paulo</v>
      </c>
      <c r="F31" s="120"/>
      <c r="G31" s="151"/>
    </row>
    <row r="32" spans="1:9" s="137" customFormat="1" ht="15.75" x14ac:dyDescent="0.2">
      <c r="A32" s="145"/>
      <c r="B32" s="119" t="str">
        <f>'MM CALC'!D57</f>
        <v>Engenheiro Civil - CREA/SP nº  5069777653/D</v>
      </c>
      <c r="C32" s="138"/>
      <c r="D32" s="138"/>
      <c r="E32" s="146" t="str">
        <f>'MM CALC'!G57</f>
        <v>Prefeito Municipal de Conceição do Rio Verde</v>
      </c>
      <c r="F32" s="119"/>
      <c r="G32" s="147"/>
    </row>
    <row r="33" spans="1:9" x14ac:dyDescent="0.2">
      <c r="A33" s="31"/>
      <c r="B33" s="42"/>
      <c r="C33" s="32"/>
      <c r="D33" s="32"/>
      <c r="E33" s="32"/>
      <c r="F33" s="32"/>
      <c r="G33" s="33"/>
      <c r="I33" s="30"/>
    </row>
    <row r="34" spans="1:9" x14ac:dyDescent="0.2">
      <c r="I34" s="30"/>
    </row>
  </sheetData>
  <mergeCells count="22">
    <mergeCell ref="D1:F1"/>
    <mergeCell ref="B14:B15"/>
    <mergeCell ref="A16:A17"/>
    <mergeCell ref="B16:B17"/>
    <mergeCell ref="A18:A19"/>
    <mergeCell ref="B18:B19"/>
    <mergeCell ref="A22:B23"/>
    <mergeCell ref="A3:G3"/>
    <mergeCell ref="A10:A11"/>
    <mergeCell ref="B10:B11"/>
    <mergeCell ref="A12:A13"/>
    <mergeCell ref="B12:B13"/>
    <mergeCell ref="C8:C9"/>
    <mergeCell ref="B8:B9"/>
    <mergeCell ref="A8:A9"/>
    <mergeCell ref="D8:D9"/>
    <mergeCell ref="F8:F9"/>
    <mergeCell ref="G8:G9"/>
    <mergeCell ref="A14:A15"/>
    <mergeCell ref="E8:E9"/>
    <mergeCell ref="A20:A21"/>
    <mergeCell ref="B20:B21"/>
  </mergeCells>
  <phoneticPr fontId="36" type="noConversion"/>
  <printOptions horizontalCentered="1"/>
  <pageMargins left="0.59055118110236227" right="0.39370078740157483" top="0.59055118110236227" bottom="0.59055118110236227" header="0.31496062992125984" footer="0.31496062992125984"/>
  <pageSetup paperSize="9" orientation="landscape" horizontalDpi="4294967292" verticalDpi="1200" r:id="rId1"/>
  <headerFooter>
    <oddFooter>&amp;CPágina &amp;P de &amp;N</oddFooter>
  </headerFooter>
  <ignoredErrors>
    <ignoredError sqref="F11 G11 G12:G22 C11:C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8"/>
  <sheetViews>
    <sheetView showGridLines="0" view="pageBreakPreview" zoomScale="75" zoomScaleNormal="75" zoomScaleSheetLayoutView="75" workbookViewId="0">
      <selection activeCell="G9" sqref="G9"/>
    </sheetView>
  </sheetViews>
  <sheetFormatPr defaultColWidth="9.140625" defaultRowHeight="12.75" x14ac:dyDescent="0.2"/>
  <cols>
    <col min="1" max="1" width="6.42578125" style="39" customWidth="1"/>
    <col min="2" max="2" width="13.42578125" style="38" bestFit="1" customWidth="1"/>
    <col min="3" max="3" width="9.140625" style="38" bestFit="1" customWidth="1"/>
    <col min="4" max="4" width="74.140625" style="14" customWidth="1"/>
    <col min="5" max="5" width="10.42578125" style="38" customWidth="1"/>
    <col min="6" max="6" width="8.85546875" style="211" customWidth="1"/>
    <col min="7" max="7" width="75.5703125" style="17" customWidth="1"/>
    <col min="8" max="8" width="0" style="299" hidden="1" customWidth="1"/>
    <col min="9" max="9" width="52.85546875" style="303" hidden="1" customWidth="1"/>
    <col min="10" max="10" width="9.140625" style="300"/>
    <col min="11" max="16384" width="9.140625" style="17"/>
  </cols>
  <sheetData>
    <row r="1" spans="1:10" s="13" customFormat="1" x14ac:dyDescent="0.2">
      <c r="A1" s="358" t="s">
        <v>21</v>
      </c>
      <c r="B1" s="359"/>
      <c r="C1" s="359"/>
      <c r="D1" s="359"/>
      <c r="E1" s="359"/>
      <c r="F1" s="359"/>
      <c r="G1" s="360"/>
      <c r="H1" s="296"/>
      <c r="I1" s="303"/>
      <c r="J1" s="37"/>
    </row>
    <row r="2" spans="1:10" s="13" customFormat="1" x14ac:dyDescent="0.2">
      <c r="A2" s="201"/>
      <c r="B2" s="202"/>
      <c r="C2" s="202"/>
      <c r="D2" s="199"/>
      <c r="E2" s="202"/>
      <c r="F2" s="63"/>
      <c r="G2" s="164"/>
      <c r="H2" s="296"/>
      <c r="I2" s="303"/>
      <c r="J2" s="37"/>
    </row>
    <row r="3" spans="1:10" s="13" customFormat="1" x14ac:dyDescent="0.2">
      <c r="A3" s="15" t="s">
        <v>48</v>
      </c>
      <c r="B3" s="3"/>
      <c r="C3" s="202"/>
      <c r="D3" s="200"/>
      <c r="E3" s="27" t="s">
        <v>248</v>
      </c>
      <c r="F3" s="63"/>
      <c r="G3" s="164"/>
      <c r="H3" s="296"/>
      <c r="I3" s="303"/>
      <c r="J3" s="37"/>
    </row>
    <row r="4" spans="1:10" s="13" customFormat="1" x14ac:dyDescent="0.2">
      <c r="A4" s="15" t="s">
        <v>49</v>
      </c>
      <c r="B4" s="3"/>
      <c r="C4" s="202"/>
      <c r="D4" s="199"/>
      <c r="E4" s="3"/>
      <c r="F4" s="63"/>
      <c r="G4" s="164"/>
      <c r="H4" s="296"/>
      <c r="I4" s="303"/>
      <c r="J4" s="37"/>
    </row>
    <row r="5" spans="1:10" s="13" customFormat="1" x14ac:dyDescent="0.2">
      <c r="A5" s="15" t="s">
        <v>50</v>
      </c>
      <c r="B5" s="3"/>
      <c r="C5" s="202"/>
      <c r="D5" s="199"/>
      <c r="E5" s="3"/>
      <c r="F5" s="63"/>
      <c r="G5" s="164"/>
      <c r="H5" s="296"/>
      <c r="I5" s="303"/>
      <c r="J5" s="37"/>
    </row>
    <row r="6" spans="1:10" s="13" customFormat="1" x14ac:dyDescent="0.2">
      <c r="A6" s="10"/>
      <c r="B6" s="3"/>
      <c r="C6" s="202"/>
      <c r="D6" s="199"/>
      <c r="E6" s="3"/>
      <c r="F6" s="63"/>
      <c r="G6" s="164"/>
      <c r="H6" s="296"/>
      <c r="I6" s="303"/>
      <c r="J6" s="37"/>
    </row>
    <row r="7" spans="1:10" s="5" customFormat="1" x14ac:dyDescent="0.2">
      <c r="A7" s="74" t="s">
        <v>0</v>
      </c>
      <c r="B7" s="101" t="s">
        <v>8</v>
      </c>
      <c r="C7" s="101" t="s">
        <v>2</v>
      </c>
      <c r="D7" s="51" t="s">
        <v>1</v>
      </c>
      <c r="E7" s="101" t="s">
        <v>26</v>
      </c>
      <c r="F7" s="73" t="s">
        <v>6</v>
      </c>
      <c r="G7" s="51" t="s">
        <v>14</v>
      </c>
      <c r="H7" s="312" t="s">
        <v>267</v>
      </c>
      <c r="I7" s="313" t="s">
        <v>268</v>
      </c>
      <c r="J7" s="297"/>
    </row>
    <row r="8" spans="1:10" s="154" customFormat="1" x14ac:dyDescent="0.2">
      <c r="A8" s="51">
        <v>1</v>
      </c>
      <c r="B8" s="51"/>
      <c r="C8" s="51"/>
      <c r="D8" s="153" t="s">
        <v>90</v>
      </c>
      <c r="E8" s="51"/>
      <c r="F8" s="155"/>
      <c r="G8" s="156"/>
      <c r="H8" s="308"/>
      <c r="I8" s="309"/>
      <c r="J8" s="298"/>
    </row>
    <row r="9" spans="1:10" ht="63.75" x14ac:dyDescent="0.2">
      <c r="A9" s="109" t="s">
        <v>25</v>
      </c>
      <c r="B9" s="109" t="s">
        <v>27</v>
      </c>
      <c r="C9" s="109" t="s">
        <v>36</v>
      </c>
      <c r="D9" s="136" t="s">
        <v>30</v>
      </c>
      <c r="E9" s="110" t="s">
        <v>35</v>
      </c>
      <c r="F9" s="111">
        <v>1</v>
      </c>
      <c r="G9" s="344" t="s">
        <v>34</v>
      </c>
      <c r="H9" s="307" t="s">
        <v>210</v>
      </c>
      <c r="I9" s="310" t="s">
        <v>249</v>
      </c>
    </row>
    <row r="10" spans="1:10" s="154" customFormat="1" x14ac:dyDescent="0.2">
      <c r="A10" s="51">
        <v>2</v>
      </c>
      <c r="B10" s="51"/>
      <c r="C10" s="51"/>
      <c r="D10" s="213" t="s">
        <v>91</v>
      </c>
      <c r="E10" s="155"/>
      <c r="F10" s="131"/>
      <c r="G10" s="214"/>
      <c r="H10" s="308"/>
      <c r="I10" s="309"/>
      <c r="J10" s="298"/>
    </row>
    <row r="11" spans="1:10" ht="25.5" x14ac:dyDescent="0.2">
      <c r="A11" s="109" t="s">
        <v>55</v>
      </c>
      <c r="B11" s="345" t="s">
        <v>27</v>
      </c>
      <c r="C11" s="345" t="s">
        <v>119</v>
      </c>
      <c r="D11" s="115" t="s">
        <v>120</v>
      </c>
      <c r="E11" s="345" t="s">
        <v>121</v>
      </c>
      <c r="F11" s="111">
        <f>'MM CALC AUX-ÁREAS E PERÍMETROS'!M23</f>
        <v>177.83</v>
      </c>
      <c r="G11" s="344" t="s">
        <v>177</v>
      </c>
      <c r="H11" s="307" t="s">
        <v>210</v>
      </c>
      <c r="I11" s="310" t="s">
        <v>252</v>
      </c>
    </row>
    <row r="12" spans="1:10" ht="51" x14ac:dyDescent="0.2">
      <c r="A12" s="109" t="s">
        <v>56</v>
      </c>
      <c r="B12" s="109" t="s">
        <v>41</v>
      </c>
      <c r="C12" s="109">
        <v>94275</v>
      </c>
      <c r="D12" s="136" t="s">
        <v>204</v>
      </c>
      <c r="E12" s="110" t="s">
        <v>32</v>
      </c>
      <c r="F12" s="111">
        <f>'MM CALC AUX-ÁREAS E PERÍMETROS'!M24</f>
        <v>240.55</v>
      </c>
      <c r="G12" s="344" t="s">
        <v>178</v>
      </c>
      <c r="H12" s="307" t="s">
        <v>210</v>
      </c>
      <c r="I12" s="310" t="s">
        <v>253</v>
      </c>
    </row>
    <row r="13" spans="1:10" ht="25.5" x14ac:dyDescent="0.2">
      <c r="A13" s="109" t="s">
        <v>57</v>
      </c>
      <c r="B13" s="109" t="s">
        <v>27</v>
      </c>
      <c r="C13" s="109" t="s">
        <v>250</v>
      </c>
      <c r="D13" s="136" t="s">
        <v>251</v>
      </c>
      <c r="E13" s="110" t="s">
        <v>121</v>
      </c>
      <c r="F13" s="111">
        <f>'MM CALC AUX-ÁREAS E PERÍMETROS'!M23</f>
        <v>177.83</v>
      </c>
      <c r="G13" s="344" t="s">
        <v>179</v>
      </c>
      <c r="H13" s="307" t="s">
        <v>210</v>
      </c>
      <c r="I13" s="310" t="s">
        <v>104</v>
      </c>
    </row>
    <row r="14" spans="1:10" s="154" customFormat="1" x14ac:dyDescent="0.2">
      <c r="A14" s="51">
        <v>3</v>
      </c>
      <c r="B14" s="51"/>
      <c r="C14" s="215"/>
      <c r="D14" s="213" t="s">
        <v>92</v>
      </c>
      <c r="E14" s="51"/>
      <c r="F14" s="216"/>
      <c r="G14" s="214"/>
      <c r="H14" s="308"/>
      <c r="I14" s="309"/>
      <c r="J14" s="298"/>
    </row>
    <row r="15" spans="1:10" ht="25.5" x14ac:dyDescent="0.2">
      <c r="A15" s="109" t="s">
        <v>58</v>
      </c>
      <c r="B15" s="109" t="s">
        <v>27</v>
      </c>
      <c r="C15" s="109" t="s">
        <v>112</v>
      </c>
      <c r="D15" s="136" t="s">
        <v>113</v>
      </c>
      <c r="E15" s="110" t="s">
        <v>111</v>
      </c>
      <c r="F15" s="111">
        <f>ROUND(8*16*0.15,2)</f>
        <v>19.2</v>
      </c>
      <c r="G15" s="344" t="s">
        <v>114</v>
      </c>
      <c r="H15" s="307" t="s">
        <v>210</v>
      </c>
      <c r="I15" s="310" t="s">
        <v>104</v>
      </c>
    </row>
    <row r="16" spans="1:10" ht="51" x14ac:dyDescent="0.2">
      <c r="A16" s="109" t="s">
        <v>59</v>
      </c>
      <c r="B16" s="109" t="s">
        <v>41</v>
      </c>
      <c r="C16" s="109">
        <v>94275</v>
      </c>
      <c r="D16" s="136" t="s">
        <v>204</v>
      </c>
      <c r="E16" s="110" t="s">
        <v>32</v>
      </c>
      <c r="F16" s="111">
        <f>ROUND((16+8)*2,2)</f>
        <v>48</v>
      </c>
      <c r="G16" s="344" t="s">
        <v>115</v>
      </c>
      <c r="H16" s="307" t="s">
        <v>210</v>
      </c>
      <c r="I16" s="310" t="s">
        <v>253</v>
      </c>
    </row>
    <row r="17" spans="1:11" ht="25.5" x14ac:dyDescent="0.2">
      <c r="A17" s="109" t="s">
        <v>60</v>
      </c>
      <c r="B17" s="109" t="s">
        <v>27</v>
      </c>
      <c r="C17" s="212" t="s">
        <v>85</v>
      </c>
      <c r="D17" s="136" t="s">
        <v>93</v>
      </c>
      <c r="E17" s="110" t="s">
        <v>111</v>
      </c>
      <c r="F17" s="111">
        <f>ROUND(8*16*0.15,2)</f>
        <v>19.2</v>
      </c>
      <c r="G17" s="344" t="s">
        <v>114</v>
      </c>
      <c r="H17" s="307" t="s">
        <v>210</v>
      </c>
      <c r="I17" s="310" t="s">
        <v>249</v>
      </c>
    </row>
    <row r="18" spans="1:11" x14ac:dyDescent="0.2">
      <c r="A18" s="109" t="s">
        <v>61</v>
      </c>
      <c r="B18" s="109" t="s">
        <v>27</v>
      </c>
      <c r="C18" s="109" t="s">
        <v>84</v>
      </c>
      <c r="D18" s="115" t="s">
        <v>139</v>
      </c>
      <c r="E18" s="110" t="s">
        <v>35</v>
      </c>
      <c r="F18" s="111">
        <v>1</v>
      </c>
      <c r="G18" s="346" t="s">
        <v>205</v>
      </c>
      <c r="H18" s="307" t="s">
        <v>210</v>
      </c>
      <c r="I18" s="310" t="s">
        <v>249</v>
      </c>
    </row>
    <row r="19" spans="1:11" s="154" customFormat="1" x14ac:dyDescent="0.2">
      <c r="A19" s="51">
        <v>4</v>
      </c>
      <c r="B19" s="51"/>
      <c r="C19" s="51"/>
      <c r="D19" s="153" t="s">
        <v>94</v>
      </c>
      <c r="E19" s="51"/>
      <c r="F19" s="216"/>
      <c r="G19" s="214"/>
      <c r="H19" s="308"/>
      <c r="I19" s="309"/>
      <c r="J19" s="298"/>
    </row>
    <row r="20" spans="1:11" ht="25.5" x14ac:dyDescent="0.2">
      <c r="A20" s="109" t="s">
        <v>62</v>
      </c>
      <c r="B20" s="109" t="s">
        <v>27</v>
      </c>
      <c r="C20" s="109" t="s">
        <v>194</v>
      </c>
      <c r="D20" s="115" t="s">
        <v>195</v>
      </c>
      <c r="E20" s="110" t="s">
        <v>121</v>
      </c>
      <c r="F20" s="111">
        <f>ROUND(('MM CALC AUX-ÁREAS E PERÍMETROS'!F42+'MM CALC AUX-ÁREAS E PERÍMETROS'!F58)*2,2)</f>
        <v>68.64</v>
      </c>
      <c r="G20" s="344" t="s">
        <v>135</v>
      </c>
      <c r="H20" s="307" t="s">
        <v>210</v>
      </c>
      <c r="I20" s="310" t="s">
        <v>211</v>
      </c>
    </row>
    <row r="21" spans="1:11" ht="63.75" x14ac:dyDescent="0.2">
      <c r="A21" s="109" t="s">
        <v>63</v>
      </c>
      <c r="B21" s="109" t="s">
        <v>27</v>
      </c>
      <c r="C21" s="109" t="s">
        <v>107</v>
      </c>
      <c r="D21" s="115" t="s">
        <v>108</v>
      </c>
      <c r="E21" s="109" t="s">
        <v>118</v>
      </c>
      <c r="F21" s="111">
        <f>ROUND(0.7*0.7*0.65*8*2+(((19.9-(0.7*8))*0.5*0.35)*2),2)</f>
        <v>10.1</v>
      </c>
      <c r="G21" s="344" t="s">
        <v>209</v>
      </c>
      <c r="H21" s="307" t="s">
        <v>210</v>
      </c>
      <c r="I21" s="310" t="s">
        <v>208</v>
      </c>
    </row>
    <row r="22" spans="1:11" ht="25.5" x14ac:dyDescent="0.2">
      <c r="A22" s="109" t="s">
        <v>64</v>
      </c>
      <c r="B22" s="109" t="s">
        <v>27</v>
      </c>
      <c r="C22" s="109" t="s">
        <v>128</v>
      </c>
      <c r="D22" s="115" t="s">
        <v>129</v>
      </c>
      <c r="E22" s="109" t="s">
        <v>118</v>
      </c>
      <c r="F22" s="111">
        <f>ROUND(0.5*0.5*0.35*8*2,2)</f>
        <v>1.4</v>
      </c>
      <c r="G22" s="344" t="s">
        <v>206</v>
      </c>
      <c r="H22" s="307" t="s">
        <v>210</v>
      </c>
      <c r="I22" s="310" t="s">
        <v>212</v>
      </c>
    </row>
    <row r="23" spans="1:11" ht="25.5" x14ac:dyDescent="0.2">
      <c r="A23" s="109" t="s">
        <v>65</v>
      </c>
      <c r="B23" s="109" t="s">
        <v>27</v>
      </c>
      <c r="C23" s="345" t="s">
        <v>126</v>
      </c>
      <c r="D23" s="115" t="s">
        <v>127</v>
      </c>
      <c r="E23" s="109" t="s">
        <v>118</v>
      </c>
      <c r="F23" s="111">
        <f>ROUND('MM CALC AUX-ÁREAS E PERÍMETROS'!F43*0.2*0.35*2,2)</f>
        <v>2.79</v>
      </c>
      <c r="G23" s="344" t="s">
        <v>207</v>
      </c>
      <c r="H23" s="307" t="s">
        <v>210</v>
      </c>
      <c r="I23" s="310" t="s">
        <v>213</v>
      </c>
    </row>
    <row r="24" spans="1:11" ht="25.5" x14ac:dyDescent="0.2">
      <c r="A24" s="109" t="s">
        <v>66</v>
      </c>
      <c r="B24" s="109" t="s">
        <v>27</v>
      </c>
      <c r="C24" s="109" t="s">
        <v>116</v>
      </c>
      <c r="D24" s="115" t="s">
        <v>117</v>
      </c>
      <c r="E24" s="109" t="s">
        <v>118</v>
      </c>
      <c r="F24" s="111">
        <f>ROUND(F21-F22-F23,2)</f>
        <v>5.91</v>
      </c>
      <c r="G24" s="344" t="s">
        <v>214</v>
      </c>
      <c r="H24" s="307" t="s">
        <v>210</v>
      </c>
      <c r="I24" s="310" t="s">
        <v>254</v>
      </c>
    </row>
    <row r="25" spans="1:11" ht="25.5" x14ac:dyDescent="0.2">
      <c r="A25" s="109" t="s">
        <v>67</v>
      </c>
      <c r="B25" s="109" t="s">
        <v>27</v>
      </c>
      <c r="C25" s="109" t="s">
        <v>131</v>
      </c>
      <c r="D25" s="115" t="s">
        <v>132</v>
      </c>
      <c r="E25" s="109" t="s">
        <v>118</v>
      </c>
      <c r="F25" s="111">
        <f>ROUND(3.1416*0.15^2*2.6*16,2)</f>
        <v>2.94</v>
      </c>
      <c r="G25" s="344" t="s">
        <v>188</v>
      </c>
      <c r="H25" s="307" t="s">
        <v>210</v>
      </c>
      <c r="I25" s="310" t="s">
        <v>255</v>
      </c>
    </row>
    <row r="26" spans="1:11" ht="25.5" x14ac:dyDescent="0.2">
      <c r="A26" s="109" t="s">
        <v>68</v>
      </c>
      <c r="B26" s="109" t="s">
        <v>27</v>
      </c>
      <c r="C26" s="109" t="s">
        <v>133</v>
      </c>
      <c r="D26" s="115" t="s">
        <v>134</v>
      </c>
      <c r="E26" s="110" t="s">
        <v>121</v>
      </c>
      <c r="F26" s="111">
        <f>ROUND(('MM CALC AUX-ÁREAS E PERÍMETROS'!F42+'MM CALC AUX-ÁREAS E PERÍMETROS'!F58)*2,2)</f>
        <v>68.64</v>
      </c>
      <c r="G26" s="344" t="s">
        <v>135</v>
      </c>
      <c r="H26" s="307" t="s">
        <v>210</v>
      </c>
      <c r="I26" s="310" t="s">
        <v>211</v>
      </c>
    </row>
    <row r="27" spans="1:11" ht="25.5" x14ac:dyDescent="0.2">
      <c r="A27" s="109" t="s">
        <v>69</v>
      </c>
      <c r="B27" s="109" t="s">
        <v>41</v>
      </c>
      <c r="C27" s="109">
        <v>98679</v>
      </c>
      <c r="D27" s="115" t="s">
        <v>189</v>
      </c>
      <c r="E27" s="110" t="s">
        <v>121</v>
      </c>
      <c r="F27" s="111">
        <f>ROUND(('MM CALC AUX-ÁREAS E PERÍMETROS'!F42+'MM CALC AUX-ÁREAS E PERÍMETROS'!F58)*2,2)</f>
        <v>68.64</v>
      </c>
      <c r="G27" s="344" t="s">
        <v>135</v>
      </c>
      <c r="H27" s="307" t="s">
        <v>210</v>
      </c>
      <c r="I27" s="310" t="s">
        <v>215</v>
      </c>
    </row>
    <row r="28" spans="1:11" ht="38.25" x14ac:dyDescent="0.2">
      <c r="A28" s="109" t="s">
        <v>70</v>
      </c>
      <c r="B28" s="109" t="s">
        <v>41</v>
      </c>
      <c r="C28" s="109" t="s">
        <v>86</v>
      </c>
      <c r="D28" s="115" t="s">
        <v>95</v>
      </c>
      <c r="E28" s="109" t="s">
        <v>101</v>
      </c>
      <c r="F28" s="111">
        <f>ROUND('MM CALC AUX-ÁREAS E PERÍMETROS'!M42*2,2)</f>
        <v>82.22</v>
      </c>
      <c r="G28" s="344" t="s">
        <v>138</v>
      </c>
      <c r="H28" s="307" t="s">
        <v>210</v>
      </c>
      <c r="I28" s="310" t="s">
        <v>215</v>
      </c>
    </row>
    <row r="29" spans="1:11" ht="25.5" x14ac:dyDescent="0.2">
      <c r="A29" s="109" t="s">
        <v>71</v>
      </c>
      <c r="B29" s="109" t="s">
        <v>41</v>
      </c>
      <c r="C29" s="109" t="s">
        <v>87</v>
      </c>
      <c r="D29" s="115" t="s">
        <v>96</v>
      </c>
      <c r="E29" s="109" t="s">
        <v>101</v>
      </c>
      <c r="F29" s="111">
        <f>ROUND('MM CALC AUX-ÁREAS E PERÍMETROS'!M42*2,2)</f>
        <v>82.22</v>
      </c>
      <c r="G29" s="344" t="s">
        <v>138</v>
      </c>
      <c r="H29" s="307" t="s">
        <v>210</v>
      </c>
      <c r="I29" s="310" t="s">
        <v>215</v>
      </c>
    </row>
    <row r="30" spans="1:11" s="154" customFormat="1" x14ac:dyDescent="0.2">
      <c r="A30" s="51">
        <v>5</v>
      </c>
      <c r="B30" s="51"/>
      <c r="C30" s="51"/>
      <c r="D30" s="153" t="s">
        <v>97</v>
      </c>
      <c r="E30" s="51"/>
      <c r="F30" s="216"/>
      <c r="G30" s="214"/>
      <c r="H30" s="308"/>
      <c r="I30" s="309"/>
      <c r="J30" s="298"/>
    </row>
    <row r="31" spans="1:11" ht="33.75" x14ac:dyDescent="0.2">
      <c r="A31" s="109" t="s">
        <v>182</v>
      </c>
      <c r="B31" s="109" t="s">
        <v>27</v>
      </c>
      <c r="C31" s="109" t="s">
        <v>107</v>
      </c>
      <c r="D31" s="115" t="s">
        <v>108</v>
      </c>
      <c r="E31" s="109" t="s">
        <v>118</v>
      </c>
      <c r="F31" s="111">
        <f>ROUND((26.5*2+5.7*11)*0.3*0.9,2)</f>
        <v>31.24</v>
      </c>
      <c r="G31" s="344" t="s">
        <v>216</v>
      </c>
      <c r="H31" s="307" t="s">
        <v>210</v>
      </c>
      <c r="I31" s="310" t="s">
        <v>256</v>
      </c>
    </row>
    <row r="32" spans="1:11" ht="76.5" x14ac:dyDescent="0.2">
      <c r="A32" s="109" t="s">
        <v>243</v>
      </c>
      <c r="B32" s="109" t="s">
        <v>27</v>
      </c>
      <c r="C32" s="109" t="s">
        <v>200</v>
      </c>
      <c r="D32" s="115" t="s">
        <v>201</v>
      </c>
      <c r="E32" s="109" t="s">
        <v>33</v>
      </c>
      <c r="F32" s="111">
        <f>ROUND((((26.5+25.9)/2+(6.3+5.7)/2)*2+(5.7*9))*4*0.617*1.04+((26.5+6.3)*2+5.7*9)/0.2*1.2*0.109,2)</f>
        <v>373.42</v>
      </c>
      <c r="G32" s="344" t="s">
        <v>230</v>
      </c>
      <c r="H32" s="307" t="s">
        <v>210</v>
      </c>
      <c r="I32" s="310" t="s">
        <v>256</v>
      </c>
      <c r="J32" s="301"/>
      <c r="K32" s="294"/>
    </row>
    <row r="33" spans="1:11" ht="33.75" x14ac:dyDescent="0.2">
      <c r="A33" s="109" t="s">
        <v>72</v>
      </c>
      <c r="B33" s="109" t="s">
        <v>27</v>
      </c>
      <c r="C33" s="109" t="s">
        <v>202</v>
      </c>
      <c r="D33" s="115" t="s">
        <v>203</v>
      </c>
      <c r="E33" s="109" t="s">
        <v>118</v>
      </c>
      <c r="F33" s="111">
        <f>ROUND((26.5*2+5.7*11)*0.3*0.4,2)</f>
        <v>13.88</v>
      </c>
      <c r="G33" s="344" t="s">
        <v>231</v>
      </c>
      <c r="H33" s="307" t="s">
        <v>210</v>
      </c>
      <c r="I33" s="310" t="s">
        <v>256</v>
      </c>
      <c r="J33" s="302"/>
      <c r="K33" s="295"/>
    </row>
    <row r="34" spans="1:11" s="293" customFormat="1" ht="255" x14ac:dyDescent="0.2">
      <c r="A34" s="109" t="s">
        <v>73</v>
      </c>
      <c r="B34" s="109" t="s">
        <v>27</v>
      </c>
      <c r="C34" s="345" t="s">
        <v>191</v>
      </c>
      <c r="D34" s="115" t="s">
        <v>192</v>
      </c>
      <c r="E34" s="132" t="s">
        <v>102</v>
      </c>
      <c r="F34" s="110">
        <f>ROUND((5.7*1.5*3+5.7*3*4+5.7*(0.35+0.45*3)+3*1.5*2+2*1.5*2+2*2.9*2+2*2.9*2+(0.6+0.6+1.7+1.8)*2+0.75*1.6)-F35,2)</f>
        <v>124.06</v>
      </c>
      <c r="G34" s="344" t="s">
        <v>222</v>
      </c>
      <c r="H34" s="307" t="s">
        <v>210</v>
      </c>
      <c r="I34" s="310" t="s">
        <v>257</v>
      </c>
      <c r="J34" s="303"/>
    </row>
    <row r="35" spans="1:11" ht="165.75" x14ac:dyDescent="0.2">
      <c r="A35" s="109" t="s">
        <v>74</v>
      </c>
      <c r="B35" s="109" t="s">
        <v>27</v>
      </c>
      <c r="C35" s="212" t="s">
        <v>185</v>
      </c>
      <c r="D35" s="115" t="s">
        <v>98</v>
      </c>
      <c r="E35" s="132" t="s">
        <v>102</v>
      </c>
      <c r="F35" s="110">
        <f>ROUND(0.4*1.5*6+0.4*3*8+0.4*1.5*4+0.4*1.5*4+0.4*2.9*4+0.4*2.9*4+0.75*1.6,2)</f>
        <v>28.48</v>
      </c>
      <c r="G35" s="344" t="s">
        <v>193</v>
      </c>
      <c r="H35" s="307" t="s">
        <v>210</v>
      </c>
      <c r="I35" s="311" t="s">
        <v>258</v>
      </c>
    </row>
    <row r="36" spans="1:11" ht="38.25" x14ac:dyDescent="0.2">
      <c r="A36" s="109" t="s">
        <v>75</v>
      </c>
      <c r="B36" s="109" t="s">
        <v>27</v>
      </c>
      <c r="C36" s="345" t="s">
        <v>116</v>
      </c>
      <c r="D36" s="115" t="s">
        <v>117</v>
      </c>
      <c r="E36" s="345" t="s">
        <v>111</v>
      </c>
      <c r="F36" s="110">
        <f>ROUND(F31-(F33+(26.5*2+5.7*11)*0.14*0.5),2)</f>
        <v>9.26</v>
      </c>
      <c r="G36" s="344" t="s">
        <v>232</v>
      </c>
      <c r="H36" s="307" t="s">
        <v>210</v>
      </c>
      <c r="I36" s="311" t="s">
        <v>259</v>
      </c>
    </row>
    <row r="37" spans="1:11" ht="45" x14ac:dyDescent="0.2">
      <c r="A37" s="109" t="s">
        <v>76</v>
      </c>
      <c r="B37" s="109" t="s">
        <v>27</v>
      </c>
      <c r="C37" s="226" t="s">
        <v>140</v>
      </c>
      <c r="D37" s="227" t="s">
        <v>141</v>
      </c>
      <c r="E37" s="228" t="s">
        <v>118</v>
      </c>
      <c r="F37" s="110">
        <f>ROUND(F39-(F31-F36),2)</f>
        <v>113.68</v>
      </c>
      <c r="G37" s="344" t="s">
        <v>217</v>
      </c>
      <c r="H37" s="307" t="s">
        <v>210</v>
      </c>
      <c r="I37" s="311" t="s">
        <v>260</v>
      </c>
    </row>
    <row r="38" spans="1:11" ht="45" x14ac:dyDescent="0.2">
      <c r="A38" s="109" t="s">
        <v>77</v>
      </c>
      <c r="B38" s="109" t="s">
        <v>27</v>
      </c>
      <c r="C38" s="226" t="s">
        <v>142</v>
      </c>
      <c r="D38" s="227" t="s">
        <v>143</v>
      </c>
      <c r="E38" s="228" t="s">
        <v>118</v>
      </c>
      <c r="F38" s="110">
        <f>ROUND(F37*1.25,2)</f>
        <v>142.1</v>
      </c>
      <c r="G38" s="344" t="s">
        <v>273</v>
      </c>
      <c r="H38" s="307" t="s">
        <v>210</v>
      </c>
      <c r="I38" s="311" t="s">
        <v>260</v>
      </c>
    </row>
    <row r="39" spans="1:11" ht="140.25" x14ac:dyDescent="0.2">
      <c r="A39" s="109" t="s">
        <v>78</v>
      </c>
      <c r="B39" s="109" t="s">
        <v>27</v>
      </c>
      <c r="C39" s="226" t="s">
        <v>144</v>
      </c>
      <c r="D39" s="227" t="s">
        <v>145</v>
      </c>
      <c r="E39" s="228" t="s">
        <v>118</v>
      </c>
      <c r="F39" s="110">
        <f>ROUND(3*1.5*5.7+2*1.5*5.7+2*2.9*5.7+2*2.9*5.7+(0.6+0.6+1.7+1.8)*5.7,2)</f>
        <v>135.66</v>
      </c>
      <c r="G39" s="344" t="s">
        <v>221</v>
      </c>
      <c r="H39" s="307" t="s">
        <v>210</v>
      </c>
      <c r="I39" s="311" t="s">
        <v>260</v>
      </c>
    </row>
    <row r="40" spans="1:11" s="293" customFormat="1" ht="38.25" x14ac:dyDescent="0.2">
      <c r="A40" s="109" t="s">
        <v>79</v>
      </c>
      <c r="B40" s="347" t="s">
        <v>27</v>
      </c>
      <c r="C40" s="347" t="s">
        <v>196</v>
      </c>
      <c r="D40" s="348" t="s">
        <v>197</v>
      </c>
      <c r="E40" s="110" t="s">
        <v>121</v>
      </c>
      <c r="F40" s="111">
        <f>ROUND((6+(3+2*3.1416*2/4+3.5+2*3.1416*2/4+2+2+2*3.1416*3/4+4+2*3.1416*3/4+2)*2+6)*0.1,2)</f>
        <v>7.64</v>
      </c>
      <c r="G40" s="349" t="s">
        <v>220</v>
      </c>
      <c r="H40" s="307" t="s">
        <v>210</v>
      </c>
      <c r="I40" s="310" t="s">
        <v>261</v>
      </c>
      <c r="J40" s="303"/>
    </row>
    <row r="41" spans="1:11" s="293" customFormat="1" ht="38.25" x14ac:dyDescent="0.2">
      <c r="A41" s="109" t="s">
        <v>80</v>
      </c>
      <c r="B41" s="347" t="s">
        <v>27</v>
      </c>
      <c r="C41" s="347" t="s">
        <v>219</v>
      </c>
      <c r="D41" s="348" t="s">
        <v>218</v>
      </c>
      <c r="E41" s="347" t="s">
        <v>33</v>
      </c>
      <c r="F41" s="111">
        <f>ROUND((3+2*3.1416*2/4+3.5+2*3.1416*2/4+2+2+2*3.1416*3/4+4+2*3.1416*3/4+2)*6*1.48,2)</f>
        <v>286.01</v>
      </c>
      <c r="G41" s="346" t="s">
        <v>274</v>
      </c>
      <c r="H41" s="307" t="s">
        <v>210</v>
      </c>
      <c r="I41" s="310" t="s">
        <v>262</v>
      </c>
      <c r="J41" s="303"/>
    </row>
    <row r="42" spans="1:11" ht="63.75" x14ac:dyDescent="0.2">
      <c r="A42" s="109" t="s">
        <v>81</v>
      </c>
      <c r="B42" s="347" t="str">
        <f>'COMP 1-TUBO'!A8</f>
        <v>COMPOSIÇÃO</v>
      </c>
      <c r="C42" s="347" t="str">
        <f>'COMP 1-TUBO'!B8</f>
        <v>001</v>
      </c>
      <c r="D42" s="348" t="str">
        <f>'COMP 1-TUBO'!C8</f>
        <v>FORNECIMENTO E INSTALAÇÃO DE TUBO DE AÇO GALVANIZADO COM COSTURA, DN 2", ESPESSURA MÍNIMA *3,65* MM, PESO *5,10* KG/M (NBR 5580) COM GRAPA DE FERRO CHATO RETANGULAR, 19,05 MM X 3,17 MM (L X E), 0,47 KG/M SODADA NO TUBO E NA ARMADURA DO RADIER CONFORME PROJETO, INCLUSIVE FORNECIMENTO DE TODOS OS MATERIAIS E SERVIÇOS</v>
      </c>
      <c r="E42" s="347" t="str">
        <f>'COMP 1-TUBO'!E8</f>
        <v>m</v>
      </c>
      <c r="F42" s="350">
        <f>ROUND(6*4,2)</f>
        <v>24</v>
      </c>
      <c r="G42" s="344" t="s">
        <v>180</v>
      </c>
      <c r="H42" s="307" t="s">
        <v>210</v>
      </c>
      <c r="I42" s="310" t="s">
        <v>263</v>
      </c>
    </row>
    <row r="43" spans="1:11" ht="51" x14ac:dyDescent="0.2">
      <c r="A43" s="109" t="s">
        <v>82</v>
      </c>
      <c r="B43" s="347" t="s">
        <v>27</v>
      </c>
      <c r="C43" s="345" t="s">
        <v>233</v>
      </c>
      <c r="D43" s="348" t="s">
        <v>234</v>
      </c>
      <c r="E43" s="109" t="s">
        <v>118</v>
      </c>
      <c r="F43" s="111">
        <f>ROUND((3+2*3.1416*2/4+3.5+2*3.1416*2/4+2+2+2*3.1416*3/4+4+2*3.1416*3/4+2)*6*0.1,2)</f>
        <v>19.32</v>
      </c>
      <c r="G43" s="346" t="s">
        <v>235</v>
      </c>
      <c r="H43" s="307" t="s">
        <v>210</v>
      </c>
      <c r="I43" s="310" t="s">
        <v>236</v>
      </c>
    </row>
    <row r="44" spans="1:11" ht="38.25" x14ac:dyDescent="0.2">
      <c r="A44" s="109" t="s">
        <v>83</v>
      </c>
      <c r="B44" s="109" t="str">
        <f>'COMP 2-CIMENTO QUEIMADO'!A8</f>
        <v>COMPOSIÇÃO</v>
      </c>
      <c r="C44" s="109" t="str">
        <f>'COMP 2-CIMENTO QUEIMADO'!B8</f>
        <v>002</v>
      </c>
      <c r="D44" s="115" t="str">
        <f>'COMP 2-CIMENTO QUEIMADO'!C8</f>
        <v>ACABAMENTO QUEIMADO COM CIMENTO PORTLAND CP IIE-32 (RESISTÊNCIA: 32,00MPA), SEM JUNTA DE DILATAÇÃO, INCLUSIVE FORNECIMENTO DE TODOS OS MATERIAIS E SERVIÇOS</v>
      </c>
      <c r="E44" s="109" t="str">
        <f>'COMP 2-CIMENTO QUEIMADO'!E8</f>
        <v>m²</v>
      </c>
      <c r="F44" s="111">
        <f>ROUND((2*3.1416*2/4+3.5+2*3.1416*2/4+2*3.1416*3/4+4+2*3.1416*3/4)*6,2)</f>
        <v>139.25</v>
      </c>
      <c r="G44" s="346" t="s">
        <v>242</v>
      </c>
      <c r="H44" s="307" t="s">
        <v>210</v>
      </c>
      <c r="I44" s="310" t="s">
        <v>237</v>
      </c>
    </row>
    <row r="45" spans="1:11" ht="204" x14ac:dyDescent="0.2">
      <c r="A45" s="109" t="s">
        <v>198</v>
      </c>
      <c r="B45" s="109" t="s">
        <v>27</v>
      </c>
      <c r="C45" s="212" t="s">
        <v>223</v>
      </c>
      <c r="D45" s="115" t="s">
        <v>224</v>
      </c>
      <c r="E45" s="110" t="s">
        <v>121</v>
      </c>
      <c r="F45" s="110">
        <f>ROUND((5.7*1.1+3*1.1*2+2*1.1*2+2*2.6*2+2*2.6*2+(0.6+0.6+1.7+1.8)*2+0.75*1.6+5.7*2.6),2)</f>
        <v>63.49</v>
      </c>
      <c r="G45" s="344" t="s">
        <v>229</v>
      </c>
      <c r="H45" s="307" t="s">
        <v>210</v>
      </c>
      <c r="I45" s="310" t="s">
        <v>225</v>
      </c>
    </row>
    <row r="46" spans="1:11" ht="25.5" x14ac:dyDescent="0.2">
      <c r="A46" s="109" t="s">
        <v>199</v>
      </c>
      <c r="B46" s="109" t="s">
        <v>27</v>
      </c>
      <c r="C46" s="212" t="s">
        <v>226</v>
      </c>
      <c r="D46" s="115" t="s">
        <v>227</v>
      </c>
      <c r="E46" s="110" t="s">
        <v>121</v>
      </c>
      <c r="F46" s="350">
        <f>F45</f>
        <v>63.49</v>
      </c>
      <c r="G46" s="344" t="s">
        <v>228</v>
      </c>
      <c r="H46" s="307" t="s">
        <v>210</v>
      </c>
      <c r="I46" s="310" t="s">
        <v>264</v>
      </c>
    </row>
    <row r="47" spans="1:11" ht="33.75" x14ac:dyDescent="0.2">
      <c r="A47" s="109" t="s">
        <v>244</v>
      </c>
      <c r="B47" s="109" t="s">
        <v>27</v>
      </c>
      <c r="C47" s="212" t="s">
        <v>186</v>
      </c>
      <c r="D47" s="115" t="s">
        <v>187</v>
      </c>
      <c r="E47" s="109" t="s">
        <v>32</v>
      </c>
      <c r="F47" s="350">
        <f>ROUND(2+6+2+2+5+2+2+6+2,2)</f>
        <v>29</v>
      </c>
      <c r="G47" s="344" t="s">
        <v>245</v>
      </c>
      <c r="H47" s="307" t="s">
        <v>210</v>
      </c>
      <c r="I47" s="310" t="s">
        <v>265</v>
      </c>
    </row>
    <row r="48" spans="1:11" s="154" customFormat="1" x14ac:dyDescent="0.2">
      <c r="A48" s="51">
        <v>6</v>
      </c>
      <c r="B48" s="51"/>
      <c r="C48" s="215"/>
      <c r="D48" s="153" t="s">
        <v>181</v>
      </c>
      <c r="E48" s="51"/>
      <c r="F48" s="292"/>
      <c r="G48" s="214"/>
      <c r="H48" s="308"/>
      <c r="I48" s="309"/>
      <c r="J48" s="298"/>
    </row>
    <row r="49" spans="1:10" ht="38.25" x14ac:dyDescent="0.2">
      <c r="A49" s="109" t="s">
        <v>183</v>
      </c>
      <c r="B49" s="109" t="s">
        <v>27</v>
      </c>
      <c r="C49" s="212" t="s">
        <v>89</v>
      </c>
      <c r="D49" s="115" t="s">
        <v>99</v>
      </c>
      <c r="E49" s="109" t="s">
        <v>100</v>
      </c>
      <c r="F49" s="350">
        <v>5</v>
      </c>
      <c r="G49" s="344" t="s">
        <v>205</v>
      </c>
      <c r="H49" s="307" t="s">
        <v>210</v>
      </c>
      <c r="I49" s="310" t="s">
        <v>266</v>
      </c>
    </row>
    <row r="50" spans="1:10" ht="63.75" x14ac:dyDescent="0.2">
      <c r="A50" s="109" t="s">
        <v>184</v>
      </c>
      <c r="B50" s="109" t="str">
        <f>'COMP 3-LUNINÁRIA SOLAR C POSTE'!B14</f>
        <v>COMPOSIÇÃO</v>
      </c>
      <c r="C50" s="109" t="str">
        <f>'COMP 3-LUNINÁRIA SOLAR C POSTE'!C14</f>
        <v>002</v>
      </c>
      <c r="D50" s="115" t="str">
        <f>'COMP 3-LUNINÁRIA SOLAR C POSTE'!D14</f>
        <v>FORNECIMENTO E INSTALAÇÃO DE CONJUNTO DE POSTE CONICO CONTINUO EM ACO GALVANIZADO, CURVO, BRACO SIMPLES, H = 7 M, DIAMETRO INFERIOR = *125* MM, ENGASTADO, ALTURA LIVRE 7,00 M, COM UMA LUMINÁRIA SOLAR PARA ILUMINAÇÃO PÚBLICA LED 150W PARA POSTE, INCLUSIVE ESCAVAÇÃO E CONCRETAGEM PARA ENGASTAMENTO DO POSTE</v>
      </c>
      <c r="E50" s="109" t="str">
        <f>'COMP 3-LUNINÁRIA SOLAR C POSTE'!F14</f>
        <v>cj</v>
      </c>
      <c r="F50" s="350">
        <v>6</v>
      </c>
      <c r="G50" s="344" t="s">
        <v>205</v>
      </c>
      <c r="H50" s="307" t="s">
        <v>210</v>
      </c>
      <c r="I50" s="310" t="s">
        <v>266</v>
      </c>
    </row>
    <row r="51" spans="1:10" s="13" customFormat="1" x14ac:dyDescent="0.2">
      <c r="A51" s="21"/>
      <c r="B51" s="105"/>
      <c r="C51" s="105"/>
      <c r="D51" s="166"/>
      <c r="E51" s="105"/>
      <c r="F51" s="113"/>
      <c r="G51" s="165"/>
      <c r="H51" s="296"/>
      <c r="I51" s="303"/>
      <c r="J51" s="37"/>
    </row>
    <row r="52" spans="1:10" s="182" customFormat="1" x14ac:dyDescent="0.2">
      <c r="A52" s="178"/>
      <c r="B52" s="179"/>
      <c r="C52" s="179"/>
      <c r="D52" s="180"/>
      <c r="E52" s="179"/>
      <c r="F52" s="209"/>
      <c r="G52" s="181"/>
      <c r="H52" s="304"/>
      <c r="I52" s="306"/>
      <c r="J52" s="305"/>
    </row>
    <row r="53" spans="1:10" s="182" customFormat="1" x14ac:dyDescent="0.2">
      <c r="A53" s="178"/>
      <c r="B53" s="179"/>
      <c r="C53" s="179"/>
      <c r="D53" s="180"/>
      <c r="E53" s="179"/>
      <c r="F53" s="209"/>
      <c r="G53" s="181"/>
      <c r="H53" s="304"/>
      <c r="I53" s="306"/>
      <c r="J53" s="305"/>
    </row>
    <row r="54" spans="1:10" s="182" customFormat="1" x14ac:dyDescent="0.2">
      <c r="A54" s="178"/>
      <c r="B54" s="179"/>
      <c r="C54" s="179"/>
      <c r="D54" s="180"/>
      <c r="E54" s="179"/>
      <c r="F54" s="209"/>
      <c r="G54" s="181"/>
      <c r="H54" s="304"/>
      <c r="I54" s="306"/>
      <c r="J54" s="305"/>
    </row>
    <row r="55" spans="1:10" s="137" customFormat="1" ht="15.75" x14ac:dyDescent="0.2">
      <c r="A55" s="337"/>
      <c r="B55" s="119"/>
      <c r="D55" s="123" t="s">
        <v>28</v>
      </c>
      <c r="E55" s="119"/>
      <c r="G55" s="141" t="s">
        <v>28</v>
      </c>
      <c r="H55" s="338"/>
      <c r="I55" s="339"/>
    </row>
    <row r="56" spans="1:10" s="137" customFormat="1" ht="15.75" x14ac:dyDescent="0.2">
      <c r="A56" s="337"/>
      <c r="B56" s="119"/>
      <c r="D56" s="120" t="s">
        <v>52</v>
      </c>
      <c r="E56" s="119"/>
      <c r="G56" s="340" t="s">
        <v>54</v>
      </c>
      <c r="H56" s="338"/>
      <c r="I56" s="339"/>
    </row>
    <row r="57" spans="1:10" s="137" customFormat="1" ht="15.75" x14ac:dyDescent="0.2">
      <c r="A57" s="337"/>
      <c r="B57" s="119"/>
      <c r="D57" s="119" t="s">
        <v>53</v>
      </c>
      <c r="E57" s="119"/>
      <c r="G57" s="141" t="s">
        <v>51</v>
      </c>
      <c r="H57" s="338"/>
      <c r="I57" s="339"/>
    </row>
    <row r="58" spans="1:10" s="182" customFormat="1" x14ac:dyDescent="0.2">
      <c r="A58" s="178"/>
      <c r="B58" s="179"/>
      <c r="C58" s="183"/>
      <c r="D58" s="185"/>
      <c r="E58" s="183"/>
      <c r="F58" s="209"/>
      <c r="G58" s="186"/>
      <c r="H58" s="304"/>
      <c r="I58" s="306"/>
      <c r="J58" s="305"/>
    </row>
    <row r="59" spans="1:10" s="182" customFormat="1" x14ac:dyDescent="0.2">
      <c r="A59" s="178"/>
      <c r="B59" s="179"/>
      <c r="C59" s="179"/>
      <c r="D59" s="187"/>
      <c r="E59" s="179"/>
      <c r="F59" s="209"/>
      <c r="G59" s="184"/>
      <c r="H59" s="304"/>
      <c r="I59" s="306"/>
      <c r="J59" s="305"/>
    </row>
    <row r="60" spans="1:10" s="182" customFormat="1" x14ac:dyDescent="0.2">
      <c r="A60" s="178"/>
      <c r="B60" s="179"/>
      <c r="C60" s="179"/>
      <c r="D60" s="180"/>
      <c r="E60" s="179"/>
      <c r="F60" s="209"/>
      <c r="G60" s="181"/>
      <c r="H60" s="304"/>
      <c r="I60" s="306"/>
      <c r="J60" s="305"/>
    </row>
    <row r="61" spans="1:10" s="182" customFormat="1" x14ac:dyDescent="0.2">
      <c r="A61" s="188"/>
      <c r="B61" s="189"/>
      <c r="C61" s="189"/>
      <c r="D61" s="190"/>
      <c r="E61" s="189"/>
      <c r="F61" s="210"/>
      <c r="G61" s="191"/>
      <c r="H61" s="304"/>
      <c r="I61" s="306"/>
      <c r="J61" s="305"/>
    </row>
    <row r="64" spans="1:10" x14ac:dyDescent="0.2">
      <c r="F64" s="38"/>
    </row>
    <row r="65" spans="6:6" x14ac:dyDescent="0.2">
      <c r="F65" s="38"/>
    </row>
    <row r="66" spans="6:6" x14ac:dyDescent="0.2">
      <c r="F66" s="38"/>
    </row>
    <row r="67" spans="6:6" x14ac:dyDescent="0.2">
      <c r="F67" s="38"/>
    </row>
    <row r="68" spans="6:6" x14ac:dyDescent="0.2">
      <c r="F68" s="38"/>
    </row>
  </sheetData>
  <autoFilter ref="A7:K50"/>
  <mergeCells count="1">
    <mergeCell ref="A1:G1"/>
  </mergeCells>
  <phoneticPr fontId="22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69" fitToHeight="7" orientation="landscape" r:id="rId1"/>
  <headerFooter alignWithMargins="0">
    <oddFooter>&amp;CPágina &amp;P de &amp;N</oddFooter>
  </headerFooter>
  <ignoredErrors>
    <ignoredError sqref="F12" formula="1"/>
    <ignoredError sqref="C28:C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view="pageBreakPreview" zoomScale="75" zoomScaleNormal="100" zoomScaleSheetLayoutView="75" workbookViewId="0">
      <selection activeCell="K10" sqref="K10"/>
    </sheetView>
  </sheetViews>
  <sheetFormatPr defaultRowHeight="12.75" x14ac:dyDescent="0.2"/>
  <cols>
    <col min="1" max="1" width="15.5703125" style="192" customWidth="1"/>
    <col min="2" max="2" width="6.5703125" style="192" customWidth="1"/>
    <col min="3" max="3" width="9.5703125" style="192" customWidth="1"/>
    <col min="4" max="4" width="56.5703125" style="283" customWidth="1"/>
    <col min="5" max="5" width="9.5703125" style="192" customWidth="1"/>
    <col min="6" max="6" width="10.5703125" style="192" customWidth="1"/>
    <col min="7" max="7" width="9.5703125" style="192" customWidth="1"/>
    <col min="8" max="8" width="13" style="192" customWidth="1"/>
    <col min="9" max="255" width="8.7109375" style="192"/>
    <col min="256" max="256" width="13.85546875" style="192" customWidth="1"/>
    <col min="257" max="257" width="13.140625" style="192" bestFit="1" customWidth="1"/>
    <col min="258" max="258" width="51.5703125" style="192" customWidth="1"/>
    <col min="259" max="259" width="8.140625" style="192" customWidth="1"/>
    <col min="260" max="260" width="14.42578125" style="192" customWidth="1"/>
    <col min="261" max="261" width="16.42578125" style="192" customWidth="1"/>
    <col min="262" max="262" width="15" style="192" customWidth="1"/>
    <col min="263" max="511" width="8.7109375" style="192"/>
    <col min="512" max="512" width="13.85546875" style="192" customWidth="1"/>
    <col min="513" max="513" width="13.140625" style="192" bestFit="1" customWidth="1"/>
    <col min="514" max="514" width="51.5703125" style="192" customWidth="1"/>
    <col min="515" max="515" width="8.140625" style="192" customWidth="1"/>
    <col min="516" max="516" width="14.42578125" style="192" customWidth="1"/>
    <col min="517" max="517" width="16.42578125" style="192" customWidth="1"/>
    <col min="518" max="518" width="15" style="192" customWidth="1"/>
    <col min="519" max="767" width="8.7109375" style="192"/>
    <col min="768" max="768" width="13.85546875" style="192" customWidth="1"/>
    <col min="769" max="769" width="13.140625" style="192" bestFit="1" customWidth="1"/>
    <col min="770" max="770" width="51.5703125" style="192" customWidth="1"/>
    <col min="771" max="771" width="8.140625" style="192" customWidth="1"/>
    <col min="772" max="772" width="14.42578125" style="192" customWidth="1"/>
    <col min="773" max="773" width="16.42578125" style="192" customWidth="1"/>
    <col min="774" max="774" width="15" style="192" customWidth="1"/>
    <col min="775" max="1023" width="8.7109375" style="192"/>
    <col min="1024" max="1024" width="13.85546875" style="192" customWidth="1"/>
    <col min="1025" max="1025" width="13.140625" style="192" bestFit="1" customWidth="1"/>
    <col min="1026" max="1026" width="51.5703125" style="192" customWidth="1"/>
    <col min="1027" max="1027" width="8.140625" style="192" customWidth="1"/>
    <col min="1028" max="1028" width="14.42578125" style="192" customWidth="1"/>
    <col min="1029" max="1029" width="16.42578125" style="192" customWidth="1"/>
    <col min="1030" max="1030" width="15" style="192" customWidth="1"/>
    <col min="1031" max="1279" width="8.7109375" style="192"/>
    <col min="1280" max="1280" width="13.85546875" style="192" customWidth="1"/>
    <col min="1281" max="1281" width="13.140625" style="192" bestFit="1" customWidth="1"/>
    <col min="1282" max="1282" width="51.5703125" style="192" customWidth="1"/>
    <col min="1283" max="1283" width="8.140625" style="192" customWidth="1"/>
    <col min="1284" max="1284" width="14.42578125" style="192" customWidth="1"/>
    <col min="1285" max="1285" width="16.42578125" style="192" customWidth="1"/>
    <col min="1286" max="1286" width="15" style="192" customWidth="1"/>
    <col min="1287" max="1535" width="8.7109375" style="192"/>
    <col min="1536" max="1536" width="13.85546875" style="192" customWidth="1"/>
    <col min="1537" max="1537" width="13.140625" style="192" bestFit="1" customWidth="1"/>
    <col min="1538" max="1538" width="51.5703125" style="192" customWidth="1"/>
    <col min="1539" max="1539" width="8.140625" style="192" customWidth="1"/>
    <col min="1540" max="1540" width="14.42578125" style="192" customWidth="1"/>
    <col min="1541" max="1541" width="16.42578125" style="192" customWidth="1"/>
    <col min="1542" max="1542" width="15" style="192" customWidth="1"/>
    <col min="1543" max="1791" width="8.7109375" style="192"/>
    <col min="1792" max="1792" width="13.85546875" style="192" customWidth="1"/>
    <col min="1793" max="1793" width="13.140625" style="192" bestFit="1" customWidth="1"/>
    <col min="1794" max="1794" width="51.5703125" style="192" customWidth="1"/>
    <col min="1795" max="1795" width="8.140625" style="192" customWidth="1"/>
    <col min="1796" max="1796" width="14.42578125" style="192" customWidth="1"/>
    <col min="1797" max="1797" width="16.42578125" style="192" customWidth="1"/>
    <col min="1798" max="1798" width="15" style="192" customWidth="1"/>
    <col min="1799" max="2047" width="8.7109375" style="192"/>
    <col min="2048" max="2048" width="13.85546875" style="192" customWidth="1"/>
    <col min="2049" max="2049" width="13.140625" style="192" bestFit="1" customWidth="1"/>
    <col min="2050" max="2050" width="51.5703125" style="192" customWidth="1"/>
    <col min="2051" max="2051" width="8.140625" style="192" customWidth="1"/>
    <col min="2052" max="2052" width="14.42578125" style="192" customWidth="1"/>
    <col min="2053" max="2053" width="16.42578125" style="192" customWidth="1"/>
    <col min="2054" max="2054" width="15" style="192" customWidth="1"/>
    <col min="2055" max="2303" width="8.7109375" style="192"/>
    <col min="2304" max="2304" width="13.85546875" style="192" customWidth="1"/>
    <col min="2305" max="2305" width="13.140625" style="192" bestFit="1" customWidth="1"/>
    <col min="2306" max="2306" width="51.5703125" style="192" customWidth="1"/>
    <col min="2307" max="2307" width="8.140625" style="192" customWidth="1"/>
    <col min="2308" max="2308" width="14.42578125" style="192" customWidth="1"/>
    <col min="2309" max="2309" width="16.42578125" style="192" customWidth="1"/>
    <col min="2310" max="2310" width="15" style="192" customWidth="1"/>
    <col min="2311" max="2559" width="8.7109375" style="192"/>
    <col min="2560" max="2560" width="13.85546875" style="192" customWidth="1"/>
    <col min="2561" max="2561" width="13.140625" style="192" bestFit="1" customWidth="1"/>
    <col min="2562" max="2562" width="51.5703125" style="192" customWidth="1"/>
    <col min="2563" max="2563" width="8.140625" style="192" customWidth="1"/>
    <col min="2564" max="2564" width="14.42578125" style="192" customWidth="1"/>
    <col min="2565" max="2565" width="16.42578125" style="192" customWidth="1"/>
    <col min="2566" max="2566" width="15" style="192" customWidth="1"/>
    <col min="2567" max="2815" width="8.7109375" style="192"/>
    <col min="2816" max="2816" width="13.85546875" style="192" customWidth="1"/>
    <col min="2817" max="2817" width="13.140625" style="192" bestFit="1" customWidth="1"/>
    <col min="2818" max="2818" width="51.5703125" style="192" customWidth="1"/>
    <col min="2819" max="2819" width="8.140625" style="192" customWidth="1"/>
    <col min="2820" max="2820" width="14.42578125" style="192" customWidth="1"/>
    <col min="2821" max="2821" width="16.42578125" style="192" customWidth="1"/>
    <col min="2822" max="2822" width="15" style="192" customWidth="1"/>
    <col min="2823" max="3071" width="8.7109375" style="192"/>
    <col min="3072" max="3072" width="13.85546875" style="192" customWidth="1"/>
    <col min="3073" max="3073" width="13.140625" style="192" bestFit="1" customWidth="1"/>
    <col min="3074" max="3074" width="51.5703125" style="192" customWidth="1"/>
    <col min="3075" max="3075" width="8.140625" style="192" customWidth="1"/>
    <col min="3076" max="3076" width="14.42578125" style="192" customWidth="1"/>
    <col min="3077" max="3077" width="16.42578125" style="192" customWidth="1"/>
    <col min="3078" max="3078" width="15" style="192" customWidth="1"/>
    <col min="3079" max="3327" width="8.7109375" style="192"/>
    <col min="3328" max="3328" width="13.85546875" style="192" customWidth="1"/>
    <col min="3329" max="3329" width="13.140625" style="192" bestFit="1" customWidth="1"/>
    <col min="3330" max="3330" width="51.5703125" style="192" customWidth="1"/>
    <col min="3331" max="3331" width="8.140625" style="192" customWidth="1"/>
    <col min="3332" max="3332" width="14.42578125" style="192" customWidth="1"/>
    <col min="3333" max="3333" width="16.42578125" style="192" customWidth="1"/>
    <col min="3334" max="3334" width="15" style="192" customWidth="1"/>
    <col min="3335" max="3583" width="8.7109375" style="192"/>
    <col min="3584" max="3584" width="13.85546875" style="192" customWidth="1"/>
    <col min="3585" max="3585" width="13.140625" style="192" bestFit="1" customWidth="1"/>
    <col min="3586" max="3586" width="51.5703125" style="192" customWidth="1"/>
    <col min="3587" max="3587" width="8.140625" style="192" customWidth="1"/>
    <col min="3588" max="3588" width="14.42578125" style="192" customWidth="1"/>
    <col min="3589" max="3589" width="16.42578125" style="192" customWidth="1"/>
    <col min="3590" max="3590" width="15" style="192" customWidth="1"/>
    <col min="3591" max="3839" width="8.7109375" style="192"/>
    <col min="3840" max="3840" width="13.85546875" style="192" customWidth="1"/>
    <col min="3841" max="3841" width="13.140625" style="192" bestFit="1" customWidth="1"/>
    <col min="3842" max="3842" width="51.5703125" style="192" customWidth="1"/>
    <col min="3843" max="3843" width="8.140625" style="192" customWidth="1"/>
    <col min="3844" max="3844" width="14.42578125" style="192" customWidth="1"/>
    <col min="3845" max="3845" width="16.42578125" style="192" customWidth="1"/>
    <col min="3846" max="3846" width="15" style="192" customWidth="1"/>
    <col min="3847" max="4095" width="8.7109375" style="192"/>
    <col min="4096" max="4096" width="13.85546875" style="192" customWidth="1"/>
    <col min="4097" max="4097" width="13.140625" style="192" bestFit="1" customWidth="1"/>
    <col min="4098" max="4098" width="51.5703125" style="192" customWidth="1"/>
    <col min="4099" max="4099" width="8.140625" style="192" customWidth="1"/>
    <col min="4100" max="4100" width="14.42578125" style="192" customWidth="1"/>
    <col min="4101" max="4101" width="16.42578125" style="192" customWidth="1"/>
    <col min="4102" max="4102" width="15" style="192" customWidth="1"/>
    <col min="4103" max="4351" width="8.7109375" style="192"/>
    <col min="4352" max="4352" width="13.85546875" style="192" customWidth="1"/>
    <col min="4353" max="4353" width="13.140625" style="192" bestFit="1" customWidth="1"/>
    <col min="4354" max="4354" width="51.5703125" style="192" customWidth="1"/>
    <col min="4355" max="4355" width="8.140625" style="192" customWidth="1"/>
    <col min="4356" max="4356" width="14.42578125" style="192" customWidth="1"/>
    <col min="4357" max="4357" width="16.42578125" style="192" customWidth="1"/>
    <col min="4358" max="4358" width="15" style="192" customWidth="1"/>
    <col min="4359" max="4607" width="8.7109375" style="192"/>
    <col min="4608" max="4608" width="13.85546875" style="192" customWidth="1"/>
    <col min="4609" max="4609" width="13.140625" style="192" bestFit="1" customWidth="1"/>
    <col min="4610" max="4610" width="51.5703125" style="192" customWidth="1"/>
    <col min="4611" max="4611" width="8.140625" style="192" customWidth="1"/>
    <col min="4612" max="4612" width="14.42578125" style="192" customWidth="1"/>
    <col min="4613" max="4613" width="16.42578125" style="192" customWidth="1"/>
    <col min="4614" max="4614" width="15" style="192" customWidth="1"/>
    <col min="4615" max="4863" width="8.7109375" style="192"/>
    <col min="4864" max="4864" width="13.85546875" style="192" customWidth="1"/>
    <col min="4865" max="4865" width="13.140625" style="192" bestFit="1" customWidth="1"/>
    <col min="4866" max="4866" width="51.5703125" style="192" customWidth="1"/>
    <col min="4867" max="4867" width="8.140625" style="192" customWidth="1"/>
    <col min="4868" max="4868" width="14.42578125" style="192" customWidth="1"/>
    <col min="4869" max="4869" width="16.42578125" style="192" customWidth="1"/>
    <col min="4870" max="4870" width="15" style="192" customWidth="1"/>
    <col min="4871" max="5119" width="8.7109375" style="192"/>
    <col min="5120" max="5120" width="13.85546875" style="192" customWidth="1"/>
    <col min="5121" max="5121" width="13.140625" style="192" bestFit="1" customWidth="1"/>
    <col min="5122" max="5122" width="51.5703125" style="192" customWidth="1"/>
    <col min="5123" max="5123" width="8.140625" style="192" customWidth="1"/>
    <col min="5124" max="5124" width="14.42578125" style="192" customWidth="1"/>
    <col min="5125" max="5125" width="16.42578125" style="192" customWidth="1"/>
    <col min="5126" max="5126" width="15" style="192" customWidth="1"/>
    <col min="5127" max="5375" width="8.7109375" style="192"/>
    <col min="5376" max="5376" width="13.85546875" style="192" customWidth="1"/>
    <col min="5377" max="5377" width="13.140625" style="192" bestFit="1" customWidth="1"/>
    <col min="5378" max="5378" width="51.5703125" style="192" customWidth="1"/>
    <col min="5379" max="5379" width="8.140625" style="192" customWidth="1"/>
    <col min="5380" max="5380" width="14.42578125" style="192" customWidth="1"/>
    <col min="5381" max="5381" width="16.42578125" style="192" customWidth="1"/>
    <col min="5382" max="5382" width="15" style="192" customWidth="1"/>
    <col min="5383" max="5631" width="8.7109375" style="192"/>
    <col min="5632" max="5632" width="13.85546875" style="192" customWidth="1"/>
    <col min="5633" max="5633" width="13.140625" style="192" bestFit="1" customWidth="1"/>
    <col min="5634" max="5634" width="51.5703125" style="192" customWidth="1"/>
    <col min="5635" max="5635" width="8.140625" style="192" customWidth="1"/>
    <col min="5636" max="5636" width="14.42578125" style="192" customWidth="1"/>
    <col min="5637" max="5637" width="16.42578125" style="192" customWidth="1"/>
    <col min="5638" max="5638" width="15" style="192" customWidth="1"/>
    <col min="5639" max="5887" width="8.7109375" style="192"/>
    <col min="5888" max="5888" width="13.85546875" style="192" customWidth="1"/>
    <col min="5889" max="5889" width="13.140625" style="192" bestFit="1" customWidth="1"/>
    <col min="5890" max="5890" width="51.5703125" style="192" customWidth="1"/>
    <col min="5891" max="5891" width="8.140625" style="192" customWidth="1"/>
    <col min="5892" max="5892" width="14.42578125" style="192" customWidth="1"/>
    <col min="5893" max="5893" width="16.42578125" style="192" customWidth="1"/>
    <col min="5894" max="5894" width="15" style="192" customWidth="1"/>
    <col min="5895" max="6143" width="8.7109375" style="192"/>
    <col min="6144" max="6144" width="13.85546875" style="192" customWidth="1"/>
    <col min="6145" max="6145" width="13.140625" style="192" bestFit="1" customWidth="1"/>
    <col min="6146" max="6146" width="51.5703125" style="192" customWidth="1"/>
    <col min="6147" max="6147" width="8.140625" style="192" customWidth="1"/>
    <col min="6148" max="6148" width="14.42578125" style="192" customWidth="1"/>
    <col min="6149" max="6149" width="16.42578125" style="192" customWidth="1"/>
    <col min="6150" max="6150" width="15" style="192" customWidth="1"/>
    <col min="6151" max="6399" width="8.7109375" style="192"/>
    <col min="6400" max="6400" width="13.85546875" style="192" customWidth="1"/>
    <col min="6401" max="6401" width="13.140625" style="192" bestFit="1" customWidth="1"/>
    <col min="6402" max="6402" width="51.5703125" style="192" customWidth="1"/>
    <col min="6403" max="6403" width="8.140625" style="192" customWidth="1"/>
    <col min="6404" max="6404" width="14.42578125" style="192" customWidth="1"/>
    <col min="6405" max="6405" width="16.42578125" style="192" customWidth="1"/>
    <col min="6406" max="6406" width="15" style="192" customWidth="1"/>
    <col min="6407" max="6655" width="8.7109375" style="192"/>
    <col min="6656" max="6656" width="13.85546875" style="192" customWidth="1"/>
    <col min="6657" max="6657" width="13.140625" style="192" bestFit="1" customWidth="1"/>
    <col min="6658" max="6658" width="51.5703125" style="192" customWidth="1"/>
    <col min="6659" max="6659" width="8.140625" style="192" customWidth="1"/>
    <col min="6660" max="6660" width="14.42578125" style="192" customWidth="1"/>
    <col min="6661" max="6661" width="16.42578125" style="192" customWidth="1"/>
    <col min="6662" max="6662" width="15" style="192" customWidth="1"/>
    <col min="6663" max="6911" width="8.7109375" style="192"/>
    <col min="6912" max="6912" width="13.85546875" style="192" customWidth="1"/>
    <col min="6913" max="6913" width="13.140625" style="192" bestFit="1" customWidth="1"/>
    <col min="6914" max="6914" width="51.5703125" style="192" customWidth="1"/>
    <col min="6915" max="6915" width="8.140625" style="192" customWidth="1"/>
    <col min="6916" max="6916" width="14.42578125" style="192" customWidth="1"/>
    <col min="6917" max="6917" width="16.42578125" style="192" customWidth="1"/>
    <col min="6918" max="6918" width="15" style="192" customWidth="1"/>
    <col min="6919" max="7167" width="8.7109375" style="192"/>
    <col min="7168" max="7168" width="13.85546875" style="192" customWidth="1"/>
    <col min="7169" max="7169" width="13.140625" style="192" bestFit="1" customWidth="1"/>
    <col min="7170" max="7170" width="51.5703125" style="192" customWidth="1"/>
    <col min="7171" max="7171" width="8.140625" style="192" customWidth="1"/>
    <col min="7172" max="7172" width="14.42578125" style="192" customWidth="1"/>
    <col min="7173" max="7173" width="16.42578125" style="192" customWidth="1"/>
    <col min="7174" max="7174" width="15" style="192" customWidth="1"/>
    <col min="7175" max="7423" width="8.7109375" style="192"/>
    <col min="7424" max="7424" width="13.85546875" style="192" customWidth="1"/>
    <col min="7425" max="7425" width="13.140625" style="192" bestFit="1" customWidth="1"/>
    <col min="7426" max="7426" width="51.5703125" style="192" customWidth="1"/>
    <col min="7427" max="7427" width="8.140625" style="192" customWidth="1"/>
    <col min="7428" max="7428" width="14.42578125" style="192" customWidth="1"/>
    <col min="7429" max="7429" width="16.42578125" style="192" customWidth="1"/>
    <col min="7430" max="7430" width="15" style="192" customWidth="1"/>
    <col min="7431" max="7679" width="8.7109375" style="192"/>
    <col min="7680" max="7680" width="13.85546875" style="192" customWidth="1"/>
    <col min="7681" max="7681" width="13.140625" style="192" bestFit="1" customWidth="1"/>
    <col min="7682" max="7682" width="51.5703125" style="192" customWidth="1"/>
    <col min="7683" max="7683" width="8.140625" style="192" customWidth="1"/>
    <col min="7684" max="7684" width="14.42578125" style="192" customWidth="1"/>
    <col min="7685" max="7685" width="16.42578125" style="192" customWidth="1"/>
    <col min="7686" max="7686" width="15" style="192" customWidth="1"/>
    <col min="7687" max="7935" width="8.7109375" style="192"/>
    <col min="7936" max="7936" width="13.85546875" style="192" customWidth="1"/>
    <col min="7937" max="7937" width="13.140625" style="192" bestFit="1" customWidth="1"/>
    <col min="7938" max="7938" width="51.5703125" style="192" customWidth="1"/>
    <col min="7939" max="7939" width="8.140625" style="192" customWidth="1"/>
    <col min="7940" max="7940" width="14.42578125" style="192" customWidth="1"/>
    <col min="7941" max="7941" width="16.42578125" style="192" customWidth="1"/>
    <col min="7942" max="7942" width="15" style="192" customWidth="1"/>
    <col min="7943" max="8191" width="8.7109375" style="192"/>
    <col min="8192" max="8192" width="13.85546875" style="192" customWidth="1"/>
    <col min="8193" max="8193" width="13.140625" style="192" bestFit="1" customWidth="1"/>
    <col min="8194" max="8194" width="51.5703125" style="192" customWidth="1"/>
    <col min="8195" max="8195" width="8.140625" style="192" customWidth="1"/>
    <col min="8196" max="8196" width="14.42578125" style="192" customWidth="1"/>
    <col min="8197" max="8197" width="16.42578125" style="192" customWidth="1"/>
    <col min="8198" max="8198" width="15" style="192" customWidth="1"/>
    <col min="8199" max="8447" width="8.7109375" style="192"/>
    <col min="8448" max="8448" width="13.85546875" style="192" customWidth="1"/>
    <col min="8449" max="8449" width="13.140625" style="192" bestFit="1" customWidth="1"/>
    <col min="8450" max="8450" width="51.5703125" style="192" customWidth="1"/>
    <col min="8451" max="8451" width="8.140625" style="192" customWidth="1"/>
    <col min="8452" max="8452" width="14.42578125" style="192" customWidth="1"/>
    <col min="8453" max="8453" width="16.42578125" style="192" customWidth="1"/>
    <col min="8454" max="8454" width="15" style="192" customWidth="1"/>
    <col min="8455" max="8703" width="8.7109375" style="192"/>
    <col min="8704" max="8704" width="13.85546875" style="192" customWidth="1"/>
    <col min="8705" max="8705" width="13.140625" style="192" bestFit="1" customWidth="1"/>
    <col min="8706" max="8706" width="51.5703125" style="192" customWidth="1"/>
    <col min="8707" max="8707" width="8.140625" style="192" customWidth="1"/>
    <col min="8708" max="8708" width="14.42578125" style="192" customWidth="1"/>
    <col min="8709" max="8709" width="16.42578125" style="192" customWidth="1"/>
    <col min="8710" max="8710" width="15" style="192" customWidth="1"/>
    <col min="8711" max="8959" width="8.7109375" style="192"/>
    <col min="8960" max="8960" width="13.85546875" style="192" customWidth="1"/>
    <col min="8961" max="8961" width="13.140625" style="192" bestFit="1" customWidth="1"/>
    <col min="8962" max="8962" width="51.5703125" style="192" customWidth="1"/>
    <col min="8963" max="8963" width="8.140625" style="192" customWidth="1"/>
    <col min="8964" max="8964" width="14.42578125" style="192" customWidth="1"/>
    <col min="8965" max="8965" width="16.42578125" style="192" customWidth="1"/>
    <col min="8966" max="8966" width="15" style="192" customWidth="1"/>
    <col min="8967" max="9215" width="8.7109375" style="192"/>
    <col min="9216" max="9216" width="13.85546875" style="192" customWidth="1"/>
    <col min="9217" max="9217" width="13.140625" style="192" bestFit="1" customWidth="1"/>
    <col min="9218" max="9218" width="51.5703125" style="192" customWidth="1"/>
    <col min="9219" max="9219" width="8.140625" style="192" customWidth="1"/>
    <col min="9220" max="9220" width="14.42578125" style="192" customWidth="1"/>
    <col min="9221" max="9221" width="16.42578125" style="192" customWidth="1"/>
    <col min="9222" max="9222" width="15" style="192" customWidth="1"/>
    <col min="9223" max="9471" width="8.7109375" style="192"/>
    <col min="9472" max="9472" width="13.85546875" style="192" customWidth="1"/>
    <col min="9473" max="9473" width="13.140625" style="192" bestFit="1" customWidth="1"/>
    <col min="9474" max="9474" width="51.5703125" style="192" customWidth="1"/>
    <col min="9475" max="9475" width="8.140625" style="192" customWidth="1"/>
    <col min="9476" max="9476" width="14.42578125" style="192" customWidth="1"/>
    <col min="9477" max="9477" width="16.42578125" style="192" customWidth="1"/>
    <col min="9478" max="9478" width="15" style="192" customWidth="1"/>
    <col min="9479" max="9727" width="8.7109375" style="192"/>
    <col min="9728" max="9728" width="13.85546875" style="192" customWidth="1"/>
    <col min="9729" max="9729" width="13.140625" style="192" bestFit="1" customWidth="1"/>
    <col min="9730" max="9730" width="51.5703125" style="192" customWidth="1"/>
    <col min="9731" max="9731" width="8.140625" style="192" customWidth="1"/>
    <col min="9732" max="9732" width="14.42578125" style="192" customWidth="1"/>
    <col min="9733" max="9733" width="16.42578125" style="192" customWidth="1"/>
    <col min="9734" max="9734" width="15" style="192" customWidth="1"/>
    <col min="9735" max="9983" width="8.7109375" style="192"/>
    <col min="9984" max="9984" width="13.85546875" style="192" customWidth="1"/>
    <col min="9985" max="9985" width="13.140625" style="192" bestFit="1" customWidth="1"/>
    <col min="9986" max="9986" width="51.5703125" style="192" customWidth="1"/>
    <col min="9987" max="9987" width="8.140625" style="192" customWidth="1"/>
    <col min="9988" max="9988" width="14.42578125" style="192" customWidth="1"/>
    <col min="9989" max="9989" width="16.42578125" style="192" customWidth="1"/>
    <col min="9990" max="9990" width="15" style="192" customWidth="1"/>
    <col min="9991" max="10239" width="8.7109375" style="192"/>
    <col min="10240" max="10240" width="13.85546875" style="192" customWidth="1"/>
    <col min="10241" max="10241" width="13.140625" style="192" bestFit="1" customWidth="1"/>
    <col min="10242" max="10242" width="51.5703125" style="192" customWidth="1"/>
    <col min="10243" max="10243" width="8.140625" style="192" customWidth="1"/>
    <col min="10244" max="10244" width="14.42578125" style="192" customWidth="1"/>
    <col min="10245" max="10245" width="16.42578125" style="192" customWidth="1"/>
    <col min="10246" max="10246" width="15" style="192" customWidth="1"/>
    <col min="10247" max="10495" width="8.7109375" style="192"/>
    <col min="10496" max="10496" width="13.85546875" style="192" customWidth="1"/>
    <col min="10497" max="10497" width="13.140625" style="192" bestFit="1" customWidth="1"/>
    <col min="10498" max="10498" width="51.5703125" style="192" customWidth="1"/>
    <col min="10499" max="10499" width="8.140625" style="192" customWidth="1"/>
    <col min="10500" max="10500" width="14.42578125" style="192" customWidth="1"/>
    <col min="10501" max="10501" width="16.42578125" style="192" customWidth="1"/>
    <col min="10502" max="10502" width="15" style="192" customWidth="1"/>
    <col min="10503" max="10751" width="8.7109375" style="192"/>
    <col min="10752" max="10752" width="13.85546875" style="192" customWidth="1"/>
    <col min="10753" max="10753" width="13.140625" style="192" bestFit="1" customWidth="1"/>
    <col min="10754" max="10754" width="51.5703125" style="192" customWidth="1"/>
    <col min="10755" max="10755" width="8.140625" style="192" customWidth="1"/>
    <col min="10756" max="10756" width="14.42578125" style="192" customWidth="1"/>
    <col min="10757" max="10757" width="16.42578125" style="192" customWidth="1"/>
    <col min="10758" max="10758" width="15" style="192" customWidth="1"/>
    <col min="10759" max="11007" width="8.7109375" style="192"/>
    <col min="11008" max="11008" width="13.85546875" style="192" customWidth="1"/>
    <col min="11009" max="11009" width="13.140625" style="192" bestFit="1" customWidth="1"/>
    <col min="11010" max="11010" width="51.5703125" style="192" customWidth="1"/>
    <col min="11011" max="11011" width="8.140625" style="192" customWidth="1"/>
    <col min="11012" max="11012" width="14.42578125" style="192" customWidth="1"/>
    <col min="11013" max="11013" width="16.42578125" style="192" customWidth="1"/>
    <col min="11014" max="11014" width="15" style="192" customWidth="1"/>
    <col min="11015" max="11263" width="8.7109375" style="192"/>
    <col min="11264" max="11264" width="13.85546875" style="192" customWidth="1"/>
    <col min="11265" max="11265" width="13.140625" style="192" bestFit="1" customWidth="1"/>
    <col min="11266" max="11266" width="51.5703125" style="192" customWidth="1"/>
    <col min="11267" max="11267" width="8.140625" style="192" customWidth="1"/>
    <col min="11268" max="11268" width="14.42578125" style="192" customWidth="1"/>
    <col min="11269" max="11269" width="16.42578125" style="192" customWidth="1"/>
    <col min="11270" max="11270" width="15" style="192" customWidth="1"/>
    <col min="11271" max="11519" width="8.7109375" style="192"/>
    <col min="11520" max="11520" width="13.85546875" style="192" customWidth="1"/>
    <col min="11521" max="11521" width="13.140625" style="192" bestFit="1" customWidth="1"/>
    <col min="11522" max="11522" width="51.5703125" style="192" customWidth="1"/>
    <col min="11523" max="11523" width="8.140625" style="192" customWidth="1"/>
    <col min="11524" max="11524" width="14.42578125" style="192" customWidth="1"/>
    <col min="11525" max="11525" width="16.42578125" style="192" customWidth="1"/>
    <col min="11526" max="11526" width="15" style="192" customWidth="1"/>
    <col min="11527" max="11775" width="8.7109375" style="192"/>
    <col min="11776" max="11776" width="13.85546875" style="192" customWidth="1"/>
    <col min="11777" max="11777" width="13.140625" style="192" bestFit="1" customWidth="1"/>
    <col min="11778" max="11778" width="51.5703125" style="192" customWidth="1"/>
    <col min="11779" max="11779" width="8.140625" style="192" customWidth="1"/>
    <col min="11780" max="11780" width="14.42578125" style="192" customWidth="1"/>
    <col min="11781" max="11781" width="16.42578125" style="192" customWidth="1"/>
    <col min="11782" max="11782" width="15" style="192" customWidth="1"/>
    <col min="11783" max="12031" width="8.7109375" style="192"/>
    <col min="12032" max="12032" width="13.85546875" style="192" customWidth="1"/>
    <col min="12033" max="12033" width="13.140625" style="192" bestFit="1" customWidth="1"/>
    <col min="12034" max="12034" width="51.5703125" style="192" customWidth="1"/>
    <col min="12035" max="12035" width="8.140625" style="192" customWidth="1"/>
    <col min="12036" max="12036" width="14.42578125" style="192" customWidth="1"/>
    <col min="12037" max="12037" width="16.42578125" style="192" customWidth="1"/>
    <col min="12038" max="12038" width="15" style="192" customWidth="1"/>
    <col min="12039" max="12287" width="8.7109375" style="192"/>
    <col min="12288" max="12288" width="13.85546875" style="192" customWidth="1"/>
    <col min="12289" max="12289" width="13.140625" style="192" bestFit="1" customWidth="1"/>
    <col min="12290" max="12290" width="51.5703125" style="192" customWidth="1"/>
    <col min="12291" max="12291" width="8.140625" style="192" customWidth="1"/>
    <col min="12292" max="12292" width="14.42578125" style="192" customWidth="1"/>
    <col min="12293" max="12293" width="16.42578125" style="192" customWidth="1"/>
    <col min="12294" max="12294" width="15" style="192" customWidth="1"/>
    <col min="12295" max="12543" width="8.7109375" style="192"/>
    <col min="12544" max="12544" width="13.85546875" style="192" customWidth="1"/>
    <col min="12545" max="12545" width="13.140625" style="192" bestFit="1" customWidth="1"/>
    <col min="12546" max="12546" width="51.5703125" style="192" customWidth="1"/>
    <col min="12547" max="12547" width="8.140625" style="192" customWidth="1"/>
    <col min="12548" max="12548" width="14.42578125" style="192" customWidth="1"/>
    <col min="12549" max="12549" width="16.42578125" style="192" customWidth="1"/>
    <col min="12550" max="12550" width="15" style="192" customWidth="1"/>
    <col min="12551" max="12799" width="8.7109375" style="192"/>
    <col min="12800" max="12800" width="13.85546875" style="192" customWidth="1"/>
    <col min="12801" max="12801" width="13.140625" style="192" bestFit="1" customWidth="1"/>
    <col min="12802" max="12802" width="51.5703125" style="192" customWidth="1"/>
    <col min="12803" max="12803" width="8.140625" style="192" customWidth="1"/>
    <col min="12804" max="12804" width="14.42578125" style="192" customWidth="1"/>
    <col min="12805" max="12805" width="16.42578125" style="192" customWidth="1"/>
    <col min="12806" max="12806" width="15" style="192" customWidth="1"/>
    <col min="12807" max="13055" width="8.7109375" style="192"/>
    <col min="13056" max="13056" width="13.85546875" style="192" customWidth="1"/>
    <col min="13057" max="13057" width="13.140625" style="192" bestFit="1" customWidth="1"/>
    <col min="13058" max="13058" width="51.5703125" style="192" customWidth="1"/>
    <col min="13059" max="13059" width="8.140625" style="192" customWidth="1"/>
    <col min="13060" max="13060" width="14.42578125" style="192" customWidth="1"/>
    <col min="13061" max="13061" width="16.42578125" style="192" customWidth="1"/>
    <col min="13062" max="13062" width="15" style="192" customWidth="1"/>
    <col min="13063" max="13311" width="8.7109375" style="192"/>
    <col min="13312" max="13312" width="13.85546875" style="192" customWidth="1"/>
    <col min="13313" max="13313" width="13.140625" style="192" bestFit="1" customWidth="1"/>
    <col min="13314" max="13314" width="51.5703125" style="192" customWidth="1"/>
    <col min="13315" max="13315" width="8.140625" style="192" customWidth="1"/>
    <col min="13316" max="13316" width="14.42578125" style="192" customWidth="1"/>
    <col min="13317" max="13317" width="16.42578125" style="192" customWidth="1"/>
    <col min="13318" max="13318" width="15" style="192" customWidth="1"/>
    <col min="13319" max="13567" width="8.7109375" style="192"/>
    <col min="13568" max="13568" width="13.85546875" style="192" customWidth="1"/>
    <col min="13569" max="13569" width="13.140625" style="192" bestFit="1" customWidth="1"/>
    <col min="13570" max="13570" width="51.5703125" style="192" customWidth="1"/>
    <col min="13571" max="13571" width="8.140625" style="192" customWidth="1"/>
    <col min="13572" max="13572" width="14.42578125" style="192" customWidth="1"/>
    <col min="13573" max="13573" width="16.42578125" style="192" customWidth="1"/>
    <col min="13574" max="13574" width="15" style="192" customWidth="1"/>
    <col min="13575" max="13823" width="8.7109375" style="192"/>
    <col min="13824" max="13824" width="13.85546875" style="192" customWidth="1"/>
    <col min="13825" max="13825" width="13.140625" style="192" bestFit="1" customWidth="1"/>
    <col min="13826" max="13826" width="51.5703125" style="192" customWidth="1"/>
    <col min="13827" max="13827" width="8.140625" style="192" customWidth="1"/>
    <col min="13828" max="13828" width="14.42578125" style="192" customWidth="1"/>
    <col min="13829" max="13829" width="16.42578125" style="192" customWidth="1"/>
    <col min="13830" max="13830" width="15" style="192" customWidth="1"/>
    <col min="13831" max="14079" width="8.7109375" style="192"/>
    <col min="14080" max="14080" width="13.85546875" style="192" customWidth="1"/>
    <col min="14081" max="14081" width="13.140625" style="192" bestFit="1" customWidth="1"/>
    <col min="14082" max="14082" width="51.5703125" style="192" customWidth="1"/>
    <col min="14083" max="14083" width="8.140625" style="192" customWidth="1"/>
    <col min="14084" max="14084" width="14.42578125" style="192" customWidth="1"/>
    <col min="14085" max="14085" width="16.42578125" style="192" customWidth="1"/>
    <col min="14086" max="14086" width="15" style="192" customWidth="1"/>
    <col min="14087" max="14335" width="8.7109375" style="192"/>
    <col min="14336" max="14336" width="13.85546875" style="192" customWidth="1"/>
    <col min="14337" max="14337" width="13.140625" style="192" bestFit="1" customWidth="1"/>
    <col min="14338" max="14338" width="51.5703125" style="192" customWidth="1"/>
    <col min="14339" max="14339" width="8.140625" style="192" customWidth="1"/>
    <col min="14340" max="14340" width="14.42578125" style="192" customWidth="1"/>
    <col min="14341" max="14341" width="16.42578125" style="192" customWidth="1"/>
    <col min="14342" max="14342" width="15" style="192" customWidth="1"/>
    <col min="14343" max="14591" width="8.7109375" style="192"/>
    <col min="14592" max="14592" width="13.85546875" style="192" customWidth="1"/>
    <col min="14593" max="14593" width="13.140625" style="192" bestFit="1" customWidth="1"/>
    <col min="14594" max="14594" width="51.5703125" style="192" customWidth="1"/>
    <col min="14595" max="14595" width="8.140625" style="192" customWidth="1"/>
    <col min="14596" max="14596" width="14.42578125" style="192" customWidth="1"/>
    <col min="14597" max="14597" width="16.42578125" style="192" customWidth="1"/>
    <col min="14598" max="14598" width="15" style="192" customWidth="1"/>
    <col min="14599" max="14847" width="8.7109375" style="192"/>
    <col min="14848" max="14848" width="13.85546875" style="192" customWidth="1"/>
    <col min="14849" max="14849" width="13.140625" style="192" bestFit="1" customWidth="1"/>
    <col min="14850" max="14850" width="51.5703125" style="192" customWidth="1"/>
    <col min="14851" max="14851" width="8.140625" style="192" customWidth="1"/>
    <col min="14852" max="14852" width="14.42578125" style="192" customWidth="1"/>
    <col min="14853" max="14853" width="16.42578125" style="192" customWidth="1"/>
    <col min="14854" max="14854" width="15" style="192" customWidth="1"/>
    <col min="14855" max="15103" width="8.7109375" style="192"/>
    <col min="15104" max="15104" width="13.85546875" style="192" customWidth="1"/>
    <col min="15105" max="15105" width="13.140625" style="192" bestFit="1" customWidth="1"/>
    <col min="15106" max="15106" width="51.5703125" style="192" customWidth="1"/>
    <col min="15107" max="15107" width="8.140625" style="192" customWidth="1"/>
    <col min="15108" max="15108" width="14.42578125" style="192" customWidth="1"/>
    <col min="15109" max="15109" width="16.42578125" style="192" customWidth="1"/>
    <col min="15110" max="15110" width="15" style="192" customWidth="1"/>
    <col min="15111" max="15359" width="8.7109375" style="192"/>
    <col min="15360" max="15360" width="13.85546875" style="192" customWidth="1"/>
    <col min="15361" max="15361" width="13.140625" style="192" bestFit="1" customWidth="1"/>
    <col min="15362" max="15362" width="51.5703125" style="192" customWidth="1"/>
    <col min="15363" max="15363" width="8.140625" style="192" customWidth="1"/>
    <col min="15364" max="15364" width="14.42578125" style="192" customWidth="1"/>
    <col min="15365" max="15365" width="16.42578125" style="192" customWidth="1"/>
    <col min="15366" max="15366" width="15" style="192" customWidth="1"/>
    <col min="15367" max="15615" width="8.7109375" style="192"/>
    <col min="15616" max="15616" width="13.85546875" style="192" customWidth="1"/>
    <col min="15617" max="15617" width="13.140625" style="192" bestFit="1" customWidth="1"/>
    <col min="15618" max="15618" width="51.5703125" style="192" customWidth="1"/>
    <col min="15619" max="15619" width="8.140625" style="192" customWidth="1"/>
    <col min="15620" max="15620" width="14.42578125" style="192" customWidth="1"/>
    <col min="15621" max="15621" width="16.42578125" style="192" customWidth="1"/>
    <col min="15622" max="15622" width="15" style="192" customWidth="1"/>
    <col min="15623" max="15871" width="8.7109375" style="192"/>
    <col min="15872" max="15872" width="13.85546875" style="192" customWidth="1"/>
    <col min="15873" max="15873" width="13.140625" style="192" bestFit="1" customWidth="1"/>
    <col min="15874" max="15874" width="51.5703125" style="192" customWidth="1"/>
    <col min="15875" max="15875" width="8.140625" style="192" customWidth="1"/>
    <col min="15876" max="15876" width="14.42578125" style="192" customWidth="1"/>
    <col min="15877" max="15877" width="16.42578125" style="192" customWidth="1"/>
    <col min="15878" max="15878" width="15" style="192" customWidth="1"/>
    <col min="15879" max="16127" width="8.7109375" style="192"/>
    <col min="16128" max="16128" width="13.85546875" style="192" customWidth="1"/>
    <col min="16129" max="16129" width="13.140625" style="192" bestFit="1" customWidth="1"/>
    <col min="16130" max="16130" width="51.5703125" style="192" customWidth="1"/>
    <col min="16131" max="16131" width="8.140625" style="192" customWidth="1"/>
    <col min="16132" max="16132" width="14.42578125" style="192" customWidth="1"/>
    <col min="16133" max="16133" width="16.42578125" style="192" customWidth="1"/>
    <col min="16134" max="16134" width="15" style="192" customWidth="1"/>
    <col min="16135" max="16382" width="8.7109375" style="192"/>
    <col min="16383" max="16384" width="8.85546875" style="192" customWidth="1"/>
  </cols>
  <sheetData>
    <row r="1" spans="1:8" x14ac:dyDescent="0.2">
      <c r="A1" s="217" t="str">
        <f>'MM CALC'!A3</f>
        <v>PREFEITURA MUNICIPAL DE CONCEIÇÃO DO RIO VERDE</v>
      </c>
      <c r="B1" s="276"/>
      <c r="C1" s="276"/>
      <c r="D1" s="277"/>
      <c r="E1" s="276"/>
      <c r="F1" s="276"/>
      <c r="G1" s="217"/>
      <c r="H1" s="244"/>
    </row>
    <row r="2" spans="1:8" x14ac:dyDescent="0.2">
      <c r="A2" s="217" t="str">
        <f>'MM CALC'!A4</f>
        <v>OBRA: CONSTRUÇÃO DE PRAÇA PÚBLICA</v>
      </c>
      <c r="B2" s="276"/>
      <c r="C2" s="276"/>
      <c r="D2" s="277"/>
      <c r="E2" s="276"/>
      <c r="F2" s="276"/>
      <c r="G2" s="276"/>
      <c r="H2" s="244"/>
    </row>
    <row r="3" spans="1:8" x14ac:dyDescent="0.2">
      <c r="A3" s="217" t="str">
        <f>'MM CALC'!A5</f>
        <v>LOCAL: RUA CORONEL JOSÉ BERNARDINHO DE OLIVEIRA, S/N, BAIRRO MATADOURO, CONCEIÇÃO DO RIO VERDE/MG</v>
      </c>
      <c r="B3" s="276"/>
      <c r="C3" s="276"/>
      <c r="D3" s="277"/>
      <c r="E3" s="276"/>
      <c r="F3" s="276"/>
      <c r="G3" s="276"/>
      <c r="H3" s="244"/>
    </row>
    <row r="4" spans="1:8" x14ac:dyDescent="0.2">
      <c r="A4" s="217" t="str">
        <f>'PLAN ORÇ'!A8</f>
        <v>REGIÃO/MÊS DE REFERÊNCIA: SEINFRA REGIÃO SUL JANEIRO/2021 COM DESONERAÇÃO E SINAPI MG MARÇO/2021 DESONERADO</v>
      </c>
      <c r="B4" s="218"/>
      <c r="C4" s="218"/>
      <c r="D4" s="232"/>
      <c r="E4" s="218"/>
      <c r="F4" s="218"/>
      <c r="G4" s="218"/>
      <c r="H4" s="219"/>
    </row>
    <row r="6" spans="1:8" x14ac:dyDescent="0.2">
      <c r="A6" s="384" t="s">
        <v>45</v>
      </c>
      <c r="B6" s="385"/>
      <c r="C6" s="385"/>
      <c r="D6" s="385"/>
      <c r="E6" s="385"/>
      <c r="F6" s="385"/>
      <c r="G6" s="385"/>
      <c r="H6" s="386"/>
    </row>
    <row r="8" spans="1:8" ht="80.099999999999994" customHeight="1" x14ac:dyDescent="0.2">
      <c r="A8" s="289" t="s">
        <v>37</v>
      </c>
      <c r="B8" s="288" t="s">
        <v>46</v>
      </c>
      <c r="C8" s="387" t="s">
        <v>175</v>
      </c>
      <c r="D8" s="388"/>
      <c r="E8" s="389" t="s">
        <v>32</v>
      </c>
      <c r="F8" s="390"/>
      <c r="G8" s="390"/>
      <c r="H8" s="391"/>
    </row>
    <row r="9" spans="1:8" ht="38.25" x14ac:dyDescent="0.2">
      <c r="A9" s="194" t="s">
        <v>8</v>
      </c>
      <c r="B9" s="194" t="s">
        <v>31</v>
      </c>
      <c r="C9" s="194" t="s">
        <v>2</v>
      </c>
      <c r="D9" s="195" t="s">
        <v>1</v>
      </c>
      <c r="E9" s="194" t="s">
        <v>26</v>
      </c>
      <c r="F9" s="278" t="s">
        <v>152</v>
      </c>
      <c r="G9" s="196" t="s">
        <v>42</v>
      </c>
      <c r="H9" s="196" t="s">
        <v>43</v>
      </c>
    </row>
    <row r="10" spans="1:8" ht="25.5" x14ac:dyDescent="0.2">
      <c r="A10" s="279" t="s">
        <v>41</v>
      </c>
      <c r="B10" s="279" t="s">
        <v>155</v>
      </c>
      <c r="C10" s="287" t="s">
        <v>106</v>
      </c>
      <c r="D10" s="280" t="s">
        <v>174</v>
      </c>
      <c r="E10" s="279" t="s">
        <v>32</v>
      </c>
      <c r="F10" s="281">
        <v>1</v>
      </c>
      <c r="G10" s="282">
        <v>76.91</v>
      </c>
      <c r="H10" s="197">
        <f t="shared" ref="H10:H14" si="0">G10*F10</f>
        <v>76.91</v>
      </c>
    </row>
    <row r="11" spans="1:8" ht="25.5" x14ac:dyDescent="0.2">
      <c r="A11" s="279" t="s">
        <v>41</v>
      </c>
      <c r="B11" s="279" t="s">
        <v>155</v>
      </c>
      <c r="C11" s="287" t="s">
        <v>170</v>
      </c>
      <c r="D11" s="280" t="s">
        <v>171</v>
      </c>
      <c r="E11" s="279" t="s">
        <v>32</v>
      </c>
      <c r="F11" s="281">
        <f>0.3*4</f>
        <v>1.2</v>
      </c>
      <c r="G11" s="282">
        <v>4.3499999999999996</v>
      </c>
      <c r="H11" s="197">
        <f t="shared" si="0"/>
        <v>5.22</v>
      </c>
    </row>
    <row r="12" spans="1:8" ht="25.5" x14ac:dyDescent="0.2">
      <c r="A12" s="279" t="s">
        <v>41</v>
      </c>
      <c r="B12" s="279" t="s">
        <v>44</v>
      </c>
      <c r="C12" s="287" t="s">
        <v>172</v>
      </c>
      <c r="D12" s="280" t="s">
        <v>173</v>
      </c>
      <c r="E12" s="279" t="s">
        <v>32</v>
      </c>
      <c r="F12" s="281">
        <f>0.01905*2*4</f>
        <v>0.15240000000000001</v>
      </c>
      <c r="G12" s="282">
        <v>55.1</v>
      </c>
      <c r="H12" s="197">
        <f t="shared" si="0"/>
        <v>8.39724</v>
      </c>
    </row>
    <row r="13" spans="1:8" ht="25.5" x14ac:dyDescent="0.2">
      <c r="A13" s="279" t="s">
        <v>27</v>
      </c>
      <c r="B13" s="279" t="s">
        <v>44</v>
      </c>
      <c r="C13" s="279" t="s">
        <v>168</v>
      </c>
      <c r="D13" s="280" t="s">
        <v>169</v>
      </c>
      <c r="E13" s="279" t="s">
        <v>40</v>
      </c>
      <c r="F13" s="281">
        <v>0.5</v>
      </c>
      <c r="G13" s="282">
        <v>19.63</v>
      </c>
      <c r="H13" s="197">
        <f>G13*F13</f>
        <v>9.8149999999999995</v>
      </c>
    </row>
    <row r="14" spans="1:8" ht="25.5" x14ac:dyDescent="0.2">
      <c r="A14" s="279" t="s">
        <v>27</v>
      </c>
      <c r="B14" s="279" t="s">
        <v>44</v>
      </c>
      <c r="C14" s="279" t="s">
        <v>38</v>
      </c>
      <c r="D14" s="280" t="s">
        <v>39</v>
      </c>
      <c r="E14" s="279" t="s">
        <v>40</v>
      </c>
      <c r="F14" s="281">
        <v>0.5</v>
      </c>
      <c r="G14" s="282">
        <v>14.1</v>
      </c>
      <c r="H14" s="197">
        <f t="shared" si="0"/>
        <v>7.05</v>
      </c>
    </row>
    <row r="15" spans="1:8" x14ac:dyDescent="0.2">
      <c r="G15" s="193" t="s">
        <v>7</v>
      </c>
      <c r="H15" s="284">
        <f>SUM(H10:H14)</f>
        <v>107.39223999999999</v>
      </c>
    </row>
    <row r="16" spans="1:8" s="174" customFormat="1" x14ac:dyDescent="0.2">
      <c r="D16" s="285"/>
    </row>
    <row r="17" spans="3:5" s="174" customFormat="1" ht="12.95" customHeight="1" x14ac:dyDescent="0.2">
      <c r="D17" s="285"/>
    </row>
    <row r="18" spans="3:5" s="174" customFormat="1" ht="12.95" customHeight="1" x14ac:dyDescent="0.2">
      <c r="D18" s="285"/>
    </row>
    <row r="19" spans="3:5" s="174" customFormat="1" ht="12.95" customHeight="1" x14ac:dyDescent="0.2">
      <c r="D19" s="285"/>
    </row>
    <row r="20" spans="3:5" s="174" customFormat="1" ht="12.95" customHeight="1" x14ac:dyDescent="0.2">
      <c r="D20" s="285"/>
    </row>
    <row r="21" spans="3:5" s="321" customFormat="1" ht="12.95" customHeight="1" x14ac:dyDescent="0.2">
      <c r="C21" s="318" t="str">
        <f>'MM CALC'!D55</f>
        <v>___________________________________________</v>
      </c>
      <c r="D21" s="328"/>
      <c r="E21" s="320" t="str">
        <f>'MM CALC'!G55</f>
        <v>___________________________________________</v>
      </c>
    </row>
    <row r="22" spans="3:5" s="321" customFormat="1" ht="12.95" customHeight="1" x14ac:dyDescent="0.2">
      <c r="C22" s="319" t="str">
        <f>'MM CALC'!D56</f>
        <v>Wanderson Soares da Silva</v>
      </c>
      <c r="D22" s="328"/>
      <c r="E22" s="327" t="str">
        <f>'MM CALC'!G56</f>
        <v>Pedro Paulo</v>
      </c>
    </row>
    <row r="23" spans="3:5" s="321" customFormat="1" ht="12.95" customHeight="1" x14ac:dyDescent="0.2">
      <c r="C23" s="318" t="str">
        <f>'MM CALC'!D57</f>
        <v>Engenheiro Civil - CREA/SP nº  5069777653/D</v>
      </c>
      <c r="D23" s="328"/>
      <c r="E23" s="320" t="str">
        <f>'MM CALC'!G57</f>
        <v>Prefeito Municipal de Conceição do Rio Verde</v>
      </c>
    </row>
    <row r="24" spans="3:5" s="174" customFormat="1" ht="12.95" customHeight="1" x14ac:dyDescent="0.2">
      <c r="D24" s="285"/>
    </row>
    <row r="25" spans="3:5" s="174" customFormat="1" x14ac:dyDescent="0.2">
      <c r="D25" s="285"/>
    </row>
    <row r="26" spans="3:5" s="174" customFormat="1" x14ac:dyDescent="0.2">
      <c r="D26" s="285"/>
    </row>
    <row r="27" spans="3:5" s="174" customFormat="1" x14ac:dyDescent="0.2">
      <c r="D27" s="285"/>
    </row>
    <row r="28" spans="3:5" s="162" customFormat="1" x14ac:dyDescent="0.2">
      <c r="D28" s="286"/>
    </row>
    <row r="29" spans="3:5" s="162" customFormat="1" x14ac:dyDescent="0.2">
      <c r="D29" s="286"/>
    </row>
    <row r="30" spans="3:5" s="162" customFormat="1" x14ac:dyDescent="0.2">
      <c r="D30" s="286"/>
    </row>
  </sheetData>
  <mergeCells count="3">
    <mergeCell ref="A6:H6"/>
    <mergeCell ref="C8:D8"/>
    <mergeCell ref="E8:H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&amp;CPágina &amp;P de &amp;N</oddFooter>
  </headerFooter>
  <ignoredErrors>
    <ignoredError sqref="C10 C11:C12 B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view="pageBreakPreview" zoomScale="75" zoomScaleNormal="100" zoomScaleSheetLayoutView="75" workbookViewId="0">
      <selection activeCell="K26" sqref="K26"/>
    </sheetView>
  </sheetViews>
  <sheetFormatPr defaultRowHeight="12.75" x14ac:dyDescent="0.2"/>
  <cols>
    <col min="1" max="1" width="15.5703125" style="192" customWidth="1"/>
    <col min="2" max="2" width="6.5703125" style="192" customWidth="1"/>
    <col min="3" max="3" width="13.140625" style="192" customWidth="1"/>
    <col min="4" max="4" width="56.5703125" style="283" customWidth="1"/>
    <col min="5" max="5" width="9.5703125" style="192" customWidth="1"/>
    <col min="6" max="6" width="10.5703125" style="192" customWidth="1"/>
    <col min="7" max="8" width="9.5703125" style="192" customWidth="1"/>
    <col min="9" max="255" width="8.7109375" style="192"/>
    <col min="256" max="256" width="13.85546875" style="192" customWidth="1"/>
    <col min="257" max="257" width="13.140625" style="192" bestFit="1" customWidth="1"/>
    <col min="258" max="258" width="51.5703125" style="192" customWidth="1"/>
    <col min="259" max="259" width="8.140625" style="192" customWidth="1"/>
    <col min="260" max="260" width="14.42578125" style="192" customWidth="1"/>
    <col min="261" max="261" width="16.42578125" style="192" customWidth="1"/>
    <col min="262" max="262" width="15" style="192" customWidth="1"/>
    <col min="263" max="511" width="8.7109375" style="192"/>
    <col min="512" max="512" width="13.85546875" style="192" customWidth="1"/>
    <col min="513" max="513" width="13.140625" style="192" bestFit="1" customWidth="1"/>
    <col min="514" max="514" width="51.5703125" style="192" customWidth="1"/>
    <col min="515" max="515" width="8.140625" style="192" customWidth="1"/>
    <col min="516" max="516" width="14.42578125" style="192" customWidth="1"/>
    <col min="517" max="517" width="16.42578125" style="192" customWidth="1"/>
    <col min="518" max="518" width="15" style="192" customWidth="1"/>
    <col min="519" max="767" width="8.7109375" style="192"/>
    <col min="768" max="768" width="13.85546875" style="192" customWidth="1"/>
    <col min="769" max="769" width="13.140625" style="192" bestFit="1" customWidth="1"/>
    <col min="770" max="770" width="51.5703125" style="192" customWidth="1"/>
    <col min="771" max="771" width="8.140625" style="192" customWidth="1"/>
    <col min="772" max="772" width="14.42578125" style="192" customWidth="1"/>
    <col min="773" max="773" width="16.42578125" style="192" customWidth="1"/>
    <col min="774" max="774" width="15" style="192" customWidth="1"/>
    <col min="775" max="1023" width="8.7109375" style="192"/>
    <col min="1024" max="1024" width="13.85546875" style="192" customWidth="1"/>
    <col min="1025" max="1025" width="13.140625" style="192" bestFit="1" customWidth="1"/>
    <col min="1026" max="1026" width="51.5703125" style="192" customWidth="1"/>
    <col min="1027" max="1027" width="8.140625" style="192" customWidth="1"/>
    <col min="1028" max="1028" width="14.42578125" style="192" customWidth="1"/>
    <col min="1029" max="1029" width="16.42578125" style="192" customWidth="1"/>
    <col min="1030" max="1030" width="15" style="192" customWidth="1"/>
    <col min="1031" max="1279" width="8.7109375" style="192"/>
    <col min="1280" max="1280" width="13.85546875" style="192" customWidth="1"/>
    <col min="1281" max="1281" width="13.140625" style="192" bestFit="1" customWidth="1"/>
    <col min="1282" max="1282" width="51.5703125" style="192" customWidth="1"/>
    <col min="1283" max="1283" width="8.140625" style="192" customWidth="1"/>
    <col min="1284" max="1284" width="14.42578125" style="192" customWidth="1"/>
    <col min="1285" max="1285" width="16.42578125" style="192" customWidth="1"/>
    <col min="1286" max="1286" width="15" style="192" customWidth="1"/>
    <col min="1287" max="1535" width="8.7109375" style="192"/>
    <col min="1536" max="1536" width="13.85546875" style="192" customWidth="1"/>
    <col min="1537" max="1537" width="13.140625" style="192" bestFit="1" customWidth="1"/>
    <col min="1538" max="1538" width="51.5703125" style="192" customWidth="1"/>
    <col min="1539" max="1539" width="8.140625" style="192" customWidth="1"/>
    <col min="1540" max="1540" width="14.42578125" style="192" customWidth="1"/>
    <col min="1541" max="1541" width="16.42578125" style="192" customWidth="1"/>
    <col min="1542" max="1542" width="15" style="192" customWidth="1"/>
    <col min="1543" max="1791" width="8.7109375" style="192"/>
    <col min="1792" max="1792" width="13.85546875" style="192" customWidth="1"/>
    <col min="1793" max="1793" width="13.140625" style="192" bestFit="1" customWidth="1"/>
    <col min="1794" max="1794" width="51.5703125" style="192" customWidth="1"/>
    <col min="1795" max="1795" width="8.140625" style="192" customWidth="1"/>
    <col min="1796" max="1796" width="14.42578125" style="192" customWidth="1"/>
    <col min="1797" max="1797" width="16.42578125" style="192" customWidth="1"/>
    <col min="1798" max="1798" width="15" style="192" customWidth="1"/>
    <col min="1799" max="2047" width="8.7109375" style="192"/>
    <col min="2048" max="2048" width="13.85546875" style="192" customWidth="1"/>
    <col min="2049" max="2049" width="13.140625" style="192" bestFit="1" customWidth="1"/>
    <col min="2050" max="2050" width="51.5703125" style="192" customWidth="1"/>
    <col min="2051" max="2051" width="8.140625" style="192" customWidth="1"/>
    <col min="2052" max="2052" width="14.42578125" style="192" customWidth="1"/>
    <col min="2053" max="2053" width="16.42578125" style="192" customWidth="1"/>
    <col min="2054" max="2054" width="15" style="192" customWidth="1"/>
    <col min="2055" max="2303" width="8.7109375" style="192"/>
    <col min="2304" max="2304" width="13.85546875" style="192" customWidth="1"/>
    <col min="2305" max="2305" width="13.140625" style="192" bestFit="1" customWidth="1"/>
    <col min="2306" max="2306" width="51.5703125" style="192" customWidth="1"/>
    <col min="2307" max="2307" width="8.140625" style="192" customWidth="1"/>
    <col min="2308" max="2308" width="14.42578125" style="192" customWidth="1"/>
    <col min="2309" max="2309" width="16.42578125" style="192" customWidth="1"/>
    <col min="2310" max="2310" width="15" style="192" customWidth="1"/>
    <col min="2311" max="2559" width="8.7109375" style="192"/>
    <col min="2560" max="2560" width="13.85546875" style="192" customWidth="1"/>
    <col min="2561" max="2561" width="13.140625" style="192" bestFit="1" customWidth="1"/>
    <col min="2562" max="2562" width="51.5703125" style="192" customWidth="1"/>
    <col min="2563" max="2563" width="8.140625" style="192" customWidth="1"/>
    <col min="2564" max="2564" width="14.42578125" style="192" customWidth="1"/>
    <col min="2565" max="2565" width="16.42578125" style="192" customWidth="1"/>
    <col min="2566" max="2566" width="15" style="192" customWidth="1"/>
    <col min="2567" max="2815" width="8.7109375" style="192"/>
    <col min="2816" max="2816" width="13.85546875" style="192" customWidth="1"/>
    <col min="2817" max="2817" width="13.140625" style="192" bestFit="1" customWidth="1"/>
    <col min="2818" max="2818" width="51.5703125" style="192" customWidth="1"/>
    <col min="2819" max="2819" width="8.140625" style="192" customWidth="1"/>
    <col min="2820" max="2820" width="14.42578125" style="192" customWidth="1"/>
    <col min="2821" max="2821" width="16.42578125" style="192" customWidth="1"/>
    <col min="2822" max="2822" width="15" style="192" customWidth="1"/>
    <col min="2823" max="3071" width="8.7109375" style="192"/>
    <col min="3072" max="3072" width="13.85546875" style="192" customWidth="1"/>
    <col min="3073" max="3073" width="13.140625" style="192" bestFit="1" customWidth="1"/>
    <col min="3074" max="3074" width="51.5703125" style="192" customWidth="1"/>
    <col min="3075" max="3075" width="8.140625" style="192" customWidth="1"/>
    <col min="3076" max="3076" width="14.42578125" style="192" customWidth="1"/>
    <col min="3077" max="3077" width="16.42578125" style="192" customWidth="1"/>
    <col min="3078" max="3078" width="15" style="192" customWidth="1"/>
    <col min="3079" max="3327" width="8.7109375" style="192"/>
    <col min="3328" max="3328" width="13.85546875" style="192" customWidth="1"/>
    <col min="3329" max="3329" width="13.140625" style="192" bestFit="1" customWidth="1"/>
    <col min="3330" max="3330" width="51.5703125" style="192" customWidth="1"/>
    <col min="3331" max="3331" width="8.140625" style="192" customWidth="1"/>
    <col min="3332" max="3332" width="14.42578125" style="192" customWidth="1"/>
    <col min="3333" max="3333" width="16.42578125" style="192" customWidth="1"/>
    <col min="3334" max="3334" width="15" style="192" customWidth="1"/>
    <col min="3335" max="3583" width="8.7109375" style="192"/>
    <col min="3584" max="3584" width="13.85546875" style="192" customWidth="1"/>
    <col min="3585" max="3585" width="13.140625" style="192" bestFit="1" customWidth="1"/>
    <col min="3586" max="3586" width="51.5703125" style="192" customWidth="1"/>
    <col min="3587" max="3587" width="8.140625" style="192" customWidth="1"/>
    <col min="3588" max="3588" width="14.42578125" style="192" customWidth="1"/>
    <col min="3589" max="3589" width="16.42578125" style="192" customWidth="1"/>
    <col min="3590" max="3590" width="15" style="192" customWidth="1"/>
    <col min="3591" max="3839" width="8.7109375" style="192"/>
    <col min="3840" max="3840" width="13.85546875" style="192" customWidth="1"/>
    <col min="3841" max="3841" width="13.140625" style="192" bestFit="1" customWidth="1"/>
    <col min="3842" max="3842" width="51.5703125" style="192" customWidth="1"/>
    <col min="3843" max="3843" width="8.140625" style="192" customWidth="1"/>
    <col min="3844" max="3844" width="14.42578125" style="192" customWidth="1"/>
    <col min="3845" max="3845" width="16.42578125" style="192" customWidth="1"/>
    <col min="3846" max="3846" width="15" style="192" customWidth="1"/>
    <col min="3847" max="4095" width="8.7109375" style="192"/>
    <col min="4096" max="4096" width="13.85546875" style="192" customWidth="1"/>
    <col min="4097" max="4097" width="13.140625" style="192" bestFit="1" customWidth="1"/>
    <col min="4098" max="4098" width="51.5703125" style="192" customWidth="1"/>
    <col min="4099" max="4099" width="8.140625" style="192" customWidth="1"/>
    <col min="4100" max="4100" width="14.42578125" style="192" customWidth="1"/>
    <col min="4101" max="4101" width="16.42578125" style="192" customWidth="1"/>
    <col min="4102" max="4102" width="15" style="192" customWidth="1"/>
    <col min="4103" max="4351" width="8.7109375" style="192"/>
    <col min="4352" max="4352" width="13.85546875" style="192" customWidth="1"/>
    <col min="4353" max="4353" width="13.140625" style="192" bestFit="1" customWidth="1"/>
    <col min="4354" max="4354" width="51.5703125" style="192" customWidth="1"/>
    <col min="4355" max="4355" width="8.140625" style="192" customWidth="1"/>
    <col min="4356" max="4356" width="14.42578125" style="192" customWidth="1"/>
    <col min="4357" max="4357" width="16.42578125" style="192" customWidth="1"/>
    <col min="4358" max="4358" width="15" style="192" customWidth="1"/>
    <col min="4359" max="4607" width="8.7109375" style="192"/>
    <col min="4608" max="4608" width="13.85546875" style="192" customWidth="1"/>
    <col min="4609" max="4609" width="13.140625" style="192" bestFit="1" customWidth="1"/>
    <col min="4610" max="4610" width="51.5703125" style="192" customWidth="1"/>
    <col min="4611" max="4611" width="8.140625" style="192" customWidth="1"/>
    <col min="4612" max="4612" width="14.42578125" style="192" customWidth="1"/>
    <col min="4613" max="4613" width="16.42578125" style="192" customWidth="1"/>
    <col min="4614" max="4614" width="15" style="192" customWidth="1"/>
    <col min="4615" max="4863" width="8.7109375" style="192"/>
    <col min="4864" max="4864" width="13.85546875" style="192" customWidth="1"/>
    <col min="4865" max="4865" width="13.140625" style="192" bestFit="1" customWidth="1"/>
    <col min="4866" max="4866" width="51.5703125" style="192" customWidth="1"/>
    <col min="4867" max="4867" width="8.140625" style="192" customWidth="1"/>
    <col min="4868" max="4868" width="14.42578125" style="192" customWidth="1"/>
    <col min="4869" max="4869" width="16.42578125" style="192" customWidth="1"/>
    <col min="4870" max="4870" width="15" style="192" customWidth="1"/>
    <col min="4871" max="5119" width="8.7109375" style="192"/>
    <col min="5120" max="5120" width="13.85546875" style="192" customWidth="1"/>
    <col min="5121" max="5121" width="13.140625" style="192" bestFit="1" customWidth="1"/>
    <col min="5122" max="5122" width="51.5703125" style="192" customWidth="1"/>
    <col min="5123" max="5123" width="8.140625" style="192" customWidth="1"/>
    <col min="5124" max="5124" width="14.42578125" style="192" customWidth="1"/>
    <col min="5125" max="5125" width="16.42578125" style="192" customWidth="1"/>
    <col min="5126" max="5126" width="15" style="192" customWidth="1"/>
    <col min="5127" max="5375" width="8.7109375" style="192"/>
    <col min="5376" max="5376" width="13.85546875" style="192" customWidth="1"/>
    <col min="5377" max="5377" width="13.140625" style="192" bestFit="1" customWidth="1"/>
    <col min="5378" max="5378" width="51.5703125" style="192" customWidth="1"/>
    <col min="5379" max="5379" width="8.140625" style="192" customWidth="1"/>
    <col min="5380" max="5380" width="14.42578125" style="192" customWidth="1"/>
    <col min="5381" max="5381" width="16.42578125" style="192" customWidth="1"/>
    <col min="5382" max="5382" width="15" style="192" customWidth="1"/>
    <col min="5383" max="5631" width="8.7109375" style="192"/>
    <col min="5632" max="5632" width="13.85546875" style="192" customWidth="1"/>
    <col min="5633" max="5633" width="13.140625" style="192" bestFit="1" customWidth="1"/>
    <col min="5634" max="5634" width="51.5703125" style="192" customWidth="1"/>
    <col min="5635" max="5635" width="8.140625" style="192" customWidth="1"/>
    <col min="5636" max="5636" width="14.42578125" style="192" customWidth="1"/>
    <col min="5637" max="5637" width="16.42578125" style="192" customWidth="1"/>
    <col min="5638" max="5638" width="15" style="192" customWidth="1"/>
    <col min="5639" max="5887" width="8.7109375" style="192"/>
    <col min="5888" max="5888" width="13.85546875" style="192" customWidth="1"/>
    <col min="5889" max="5889" width="13.140625" style="192" bestFit="1" customWidth="1"/>
    <col min="5890" max="5890" width="51.5703125" style="192" customWidth="1"/>
    <col min="5891" max="5891" width="8.140625" style="192" customWidth="1"/>
    <col min="5892" max="5892" width="14.42578125" style="192" customWidth="1"/>
    <col min="5893" max="5893" width="16.42578125" style="192" customWidth="1"/>
    <col min="5894" max="5894" width="15" style="192" customWidth="1"/>
    <col min="5895" max="6143" width="8.7109375" style="192"/>
    <col min="6144" max="6144" width="13.85546875" style="192" customWidth="1"/>
    <col min="6145" max="6145" width="13.140625" style="192" bestFit="1" customWidth="1"/>
    <col min="6146" max="6146" width="51.5703125" style="192" customWidth="1"/>
    <col min="6147" max="6147" width="8.140625" style="192" customWidth="1"/>
    <col min="6148" max="6148" width="14.42578125" style="192" customWidth="1"/>
    <col min="6149" max="6149" width="16.42578125" style="192" customWidth="1"/>
    <col min="6150" max="6150" width="15" style="192" customWidth="1"/>
    <col min="6151" max="6399" width="8.7109375" style="192"/>
    <col min="6400" max="6400" width="13.85546875" style="192" customWidth="1"/>
    <col min="6401" max="6401" width="13.140625" style="192" bestFit="1" customWidth="1"/>
    <col min="6402" max="6402" width="51.5703125" style="192" customWidth="1"/>
    <col min="6403" max="6403" width="8.140625" style="192" customWidth="1"/>
    <col min="6404" max="6404" width="14.42578125" style="192" customWidth="1"/>
    <col min="6405" max="6405" width="16.42578125" style="192" customWidth="1"/>
    <col min="6406" max="6406" width="15" style="192" customWidth="1"/>
    <col min="6407" max="6655" width="8.7109375" style="192"/>
    <col min="6656" max="6656" width="13.85546875" style="192" customWidth="1"/>
    <col min="6657" max="6657" width="13.140625" style="192" bestFit="1" customWidth="1"/>
    <col min="6658" max="6658" width="51.5703125" style="192" customWidth="1"/>
    <col min="6659" max="6659" width="8.140625" style="192" customWidth="1"/>
    <col min="6660" max="6660" width="14.42578125" style="192" customWidth="1"/>
    <col min="6661" max="6661" width="16.42578125" style="192" customWidth="1"/>
    <col min="6662" max="6662" width="15" style="192" customWidth="1"/>
    <col min="6663" max="6911" width="8.7109375" style="192"/>
    <col min="6912" max="6912" width="13.85546875" style="192" customWidth="1"/>
    <col min="6913" max="6913" width="13.140625" style="192" bestFit="1" customWidth="1"/>
    <col min="6914" max="6914" width="51.5703125" style="192" customWidth="1"/>
    <col min="6915" max="6915" width="8.140625" style="192" customWidth="1"/>
    <col min="6916" max="6916" width="14.42578125" style="192" customWidth="1"/>
    <col min="6917" max="6917" width="16.42578125" style="192" customWidth="1"/>
    <col min="6918" max="6918" width="15" style="192" customWidth="1"/>
    <col min="6919" max="7167" width="8.7109375" style="192"/>
    <col min="7168" max="7168" width="13.85546875" style="192" customWidth="1"/>
    <col min="7169" max="7169" width="13.140625" style="192" bestFit="1" customWidth="1"/>
    <col min="7170" max="7170" width="51.5703125" style="192" customWidth="1"/>
    <col min="7171" max="7171" width="8.140625" style="192" customWidth="1"/>
    <col min="7172" max="7172" width="14.42578125" style="192" customWidth="1"/>
    <col min="7173" max="7173" width="16.42578125" style="192" customWidth="1"/>
    <col min="7174" max="7174" width="15" style="192" customWidth="1"/>
    <col min="7175" max="7423" width="8.7109375" style="192"/>
    <col min="7424" max="7424" width="13.85546875" style="192" customWidth="1"/>
    <col min="7425" max="7425" width="13.140625" style="192" bestFit="1" customWidth="1"/>
    <col min="7426" max="7426" width="51.5703125" style="192" customWidth="1"/>
    <col min="7427" max="7427" width="8.140625" style="192" customWidth="1"/>
    <col min="7428" max="7428" width="14.42578125" style="192" customWidth="1"/>
    <col min="7429" max="7429" width="16.42578125" style="192" customWidth="1"/>
    <col min="7430" max="7430" width="15" style="192" customWidth="1"/>
    <col min="7431" max="7679" width="8.7109375" style="192"/>
    <col min="7680" max="7680" width="13.85546875" style="192" customWidth="1"/>
    <col min="7681" max="7681" width="13.140625" style="192" bestFit="1" customWidth="1"/>
    <col min="7682" max="7682" width="51.5703125" style="192" customWidth="1"/>
    <col min="7683" max="7683" width="8.140625" style="192" customWidth="1"/>
    <col min="7684" max="7684" width="14.42578125" style="192" customWidth="1"/>
    <col min="7685" max="7685" width="16.42578125" style="192" customWidth="1"/>
    <col min="7686" max="7686" width="15" style="192" customWidth="1"/>
    <col min="7687" max="7935" width="8.7109375" style="192"/>
    <col min="7936" max="7936" width="13.85546875" style="192" customWidth="1"/>
    <col min="7937" max="7937" width="13.140625" style="192" bestFit="1" customWidth="1"/>
    <col min="7938" max="7938" width="51.5703125" style="192" customWidth="1"/>
    <col min="7939" max="7939" width="8.140625" style="192" customWidth="1"/>
    <col min="7940" max="7940" width="14.42578125" style="192" customWidth="1"/>
    <col min="7941" max="7941" width="16.42578125" style="192" customWidth="1"/>
    <col min="7942" max="7942" width="15" style="192" customWidth="1"/>
    <col min="7943" max="8191" width="8.7109375" style="192"/>
    <col min="8192" max="8192" width="13.85546875" style="192" customWidth="1"/>
    <col min="8193" max="8193" width="13.140625" style="192" bestFit="1" customWidth="1"/>
    <col min="8194" max="8194" width="51.5703125" style="192" customWidth="1"/>
    <col min="8195" max="8195" width="8.140625" style="192" customWidth="1"/>
    <col min="8196" max="8196" width="14.42578125" style="192" customWidth="1"/>
    <col min="8197" max="8197" width="16.42578125" style="192" customWidth="1"/>
    <col min="8198" max="8198" width="15" style="192" customWidth="1"/>
    <col min="8199" max="8447" width="8.7109375" style="192"/>
    <col min="8448" max="8448" width="13.85546875" style="192" customWidth="1"/>
    <col min="8449" max="8449" width="13.140625" style="192" bestFit="1" customWidth="1"/>
    <col min="8450" max="8450" width="51.5703125" style="192" customWidth="1"/>
    <col min="8451" max="8451" width="8.140625" style="192" customWidth="1"/>
    <col min="8452" max="8452" width="14.42578125" style="192" customWidth="1"/>
    <col min="8453" max="8453" width="16.42578125" style="192" customWidth="1"/>
    <col min="8454" max="8454" width="15" style="192" customWidth="1"/>
    <col min="8455" max="8703" width="8.7109375" style="192"/>
    <col min="8704" max="8704" width="13.85546875" style="192" customWidth="1"/>
    <col min="8705" max="8705" width="13.140625" style="192" bestFit="1" customWidth="1"/>
    <col min="8706" max="8706" width="51.5703125" style="192" customWidth="1"/>
    <col min="8707" max="8707" width="8.140625" style="192" customWidth="1"/>
    <col min="8708" max="8708" width="14.42578125" style="192" customWidth="1"/>
    <col min="8709" max="8709" width="16.42578125" style="192" customWidth="1"/>
    <col min="8710" max="8710" width="15" style="192" customWidth="1"/>
    <col min="8711" max="8959" width="8.7109375" style="192"/>
    <col min="8960" max="8960" width="13.85546875" style="192" customWidth="1"/>
    <col min="8961" max="8961" width="13.140625" style="192" bestFit="1" customWidth="1"/>
    <col min="8962" max="8962" width="51.5703125" style="192" customWidth="1"/>
    <col min="8963" max="8963" width="8.140625" style="192" customWidth="1"/>
    <col min="8964" max="8964" width="14.42578125" style="192" customWidth="1"/>
    <col min="8965" max="8965" width="16.42578125" style="192" customWidth="1"/>
    <col min="8966" max="8966" width="15" style="192" customWidth="1"/>
    <col min="8967" max="9215" width="8.7109375" style="192"/>
    <col min="9216" max="9216" width="13.85546875" style="192" customWidth="1"/>
    <col min="9217" max="9217" width="13.140625" style="192" bestFit="1" customWidth="1"/>
    <col min="9218" max="9218" width="51.5703125" style="192" customWidth="1"/>
    <col min="9219" max="9219" width="8.140625" style="192" customWidth="1"/>
    <col min="9220" max="9220" width="14.42578125" style="192" customWidth="1"/>
    <col min="9221" max="9221" width="16.42578125" style="192" customWidth="1"/>
    <col min="9222" max="9222" width="15" style="192" customWidth="1"/>
    <col min="9223" max="9471" width="8.7109375" style="192"/>
    <col min="9472" max="9472" width="13.85546875" style="192" customWidth="1"/>
    <col min="9473" max="9473" width="13.140625" style="192" bestFit="1" customWidth="1"/>
    <col min="9474" max="9474" width="51.5703125" style="192" customWidth="1"/>
    <col min="9475" max="9475" width="8.140625" style="192" customWidth="1"/>
    <col min="9476" max="9476" width="14.42578125" style="192" customWidth="1"/>
    <col min="9477" max="9477" width="16.42578125" style="192" customWidth="1"/>
    <col min="9478" max="9478" width="15" style="192" customWidth="1"/>
    <col min="9479" max="9727" width="8.7109375" style="192"/>
    <col min="9728" max="9728" width="13.85546875" style="192" customWidth="1"/>
    <col min="9729" max="9729" width="13.140625" style="192" bestFit="1" customWidth="1"/>
    <col min="9730" max="9730" width="51.5703125" style="192" customWidth="1"/>
    <col min="9731" max="9731" width="8.140625" style="192" customWidth="1"/>
    <col min="9732" max="9732" width="14.42578125" style="192" customWidth="1"/>
    <col min="9733" max="9733" width="16.42578125" style="192" customWidth="1"/>
    <col min="9734" max="9734" width="15" style="192" customWidth="1"/>
    <col min="9735" max="9983" width="8.7109375" style="192"/>
    <col min="9984" max="9984" width="13.85546875" style="192" customWidth="1"/>
    <col min="9985" max="9985" width="13.140625" style="192" bestFit="1" customWidth="1"/>
    <col min="9986" max="9986" width="51.5703125" style="192" customWidth="1"/>
    <col min="9987" max="9987" width="8.140625" style="192" customWidth="1"/>
    <col min="9988" max="9988" width="14.42578125" style="192" customWidth="1"/>
    <col min="9989" max="9989" width="16.42578125" style="192" customWidth="1"/>
    <col min="9990" max="9990" width="15" style="192" customWidth="1"/>
    <col min="9991" max="10239" width="8.7109375" style="192"/>
    <col min="10240" max="10240" width="13.85546875" style="192" customWidth="1"/>
    <col min="10241" max="10241" width="13.140625" style="192" bestFit="1" customWidth="1"/>
    <col min="10242" max="10242" width="51.5703125" style="192" customWidth="1"/>
    <col min="10243" max="10243" width="8.140625" style="192" customWidth="1"/>
    <col min="10244" max="10244" width="14.42578125" style="192" customWidth="1"/>
    <col min="10245" max="10245" width="16.42578125" style="192" customWidth="1"/>
    <col min="10246" max="10246" width="15" style="192" customWidth="1"/>
    <col min="10247" max="10495" width="8.7109375" style="192"/>
    <col min="10496" max="10496" width="13.85546875" style="192" customWidth="1"/>
    <col min="10497" max="10497" width="13.140625" style="192" bestFit="1" customWidth="1"/>
    <col min="10498" max="10498" width="51.5703125" style="192" customWidth="1"/>
    <col min="10499" max="10499" width="8.140625" style="192" customWidth="1"/>
    <col min="10500" max="10500" width="14.42578125" style="192" customWidth="1"/>
    <col min="10501" max="10501" width="16.42578125" style="192" customWidth="1"/>
    <col min="10502" max="10502" width="15" style="192" customWidth="1"/>
    <col min="10503" max="10751" width="8.7109375" style="192"/>
    <col min="10752" max="10752" width="13.85546875" style="192" customWidth="1"/>
    <col min="10753" max="10753" width="13.140625" style="192" bestFit="1" customWidth="1"/>
    <col min="10754" max="10754" width="51.5703125" style="192" customWidth="1"/>
    <col min="10755" max="10755" width="8.140625" style="192" customWidth="1"/>
    <col min="10756" max="10756" width="14.42578125" style="192" customWidth="1"/>
    <col min="10757" max="10757" width="16.42578125" style="192" customWidth="1"/>
    <col min="10758" max="10758" width="15" style="192" customWidth="1"/>
    <col min="10759" max="11007" width="8.7109375" style="192"/>
    <col min="11008" max="11008" width="13.85546875" style="192" customWidth="1"/>
    <col min="11009" max="11009" width="13.140625" style="192" bestFit="1" customWidth="1"/>
    <col min="11010" max="11010" width="51.5703125" style="192" customWidth="1"/>
    <col min="11011" max="11011" width="8.140625" style="192" customWidth="1"/>
    <col min="11012" max="11012" width="14.42578125" style="192" customWidth="1"/>
    <col min="11013" max="11013" width="16.42578125" style="192" customWidth="1"/>
    <col min="11014" max="11014" width="15" style="192" customWidth="1"/>
    <col min="11015" max="11263" width="8.7109375" style="192"/>
    <col min="11264" max="11264" width="13.85546875" style="192" customWidth="1"/>
    <col min="11265" max="11265" width="13.140625" style="192" bestFit="1" customWidth="1"/>
    <col min="11266" max="11266" width="51.5703125" style="192" customWidth="1"/>
    <col min="11267" max="11267" width="8.140625" style="192" customWidth="1"/>
    <col min="11268" max="11268" width="14.42578125" style="192" customWidth="1"/>
    <col min="11269" max="11269" width="16.42578125" style="192" customWidth="1"/>
    <col min="11270" max="11270" width="15" style="192" customWidth="1"/>
    <col min="11271" max="11519" width="8.7109375" style="192"/>
    <col min="11520" max="11520" width="13.85546875" style="192" customWidth="1"/>
    <col min="11521" max="11521" width="13.140625" style="192" bestFit="1" customWidth="1"/>
    <col min="11522" max="11522" width="51.5703125" style="192" customWidth="1"/>
    <col min="11523" max="11523" width="8.140625" style="192" customWidth="1"/>
    <col min="11524" max="11524" width="14.42578125" style="192" customWidth="1"/>
    <col min="11525" max="11525" width="16.42578125" style="192" customWidth="1"/>
    <col min="11526" max="11526" width="15" style="192" customWidth="1"/>
    <col min="11527" max="11775" width="8.7109375" style="192"/>
    <col min="11776" max="11776" width="13.85546875" style="192" customWidth="1"/>
    <col min="11777" max="11777" width="13.140625" style="192" bestFit="1" customWidth="1"/>
    <col min="11778" max="11778" width="51.5703125" style="192" customWidth="1"/>
    <col min="11779" max="11779" width="8.140625" style="192" customWidth="1"/>
    <col min="11780" max="11780" width="14.42578125" style="192" customWidth="1"/>
    <col min="11781" max="11781" width="16.42578125" style="192" customWidth="1"/>
    <col min="11782" max="11782" width="15" style="192" customWidth="1"/>
    <col min="11783" max="12031" width="8.7109375" style="192"/>
    <col min="12032" max="12032" width="13.85546875" style="192" customWidth="1"/>
    <col min="12033" max="12033" width="13.140625" style="192" bestFit="1" customWidth="1"/>
    <col min="12034" max="12034" width="51.5703125" style="192" customWidth="1"/>
    <col min="12035" max="12035" width="8.140625" style="192" customWidth="1"/>
    <col min="12036" max="12036" width="14.42578125" style="192" customWidth="1"/>
    <col min="12037" max="12037" width="16.42578125" style="192" customWidth="1"/>
    <col min="12038" max="12038" width="15" style="192" customWidth="1"/>
    <col min="12039" max="12287" width="8.7109375" style="192"/>
    <col min="12288" max="12288" width="13.85546875" style="192" customWidth="1"/>
    <col min="12289" max="12289" width="13.140625" style="192" bestFit="1" customWidth="1"/>
    <col min="12290" max="12290" width="51.5703125" style="192" customWidth="1"/>
    <col min="12291" max="12291" width="8.140625" style="192" customWidth="1"/>
    <col min="12292" max="12292" width="14.42578125" style="192" customWidth="1"/>
    <col min="12293" max="12293" width="16.42578125" style="192" customWidth="1"/>
    <col min="12294" max="12294" width="15" style="192" customWidth="1"/>
    <col min="12295" max="12543" width="8.7109375" style="192"/>
    <col min="12544" max="12544" width="13.85546875" style="192" customWidth="1"/>
    <col min="12545" max="12545" width="13.140625" style="192" bestFit="1" customWidth="1"/>
    <col min="12546" max="12546" width="51.5703125" style="192" customWidth="1"/>
    <col min="12547" max="12547" width="8.140625" style="192" customWidth="1"/>
    <col min="12548" max="12548" width="14.42578125" style="192" customWidth="1"/>
    <col min="12549" max="12549" width="16.42578125" style="192" customWidth="1"/>
    <col min="12550" max="12550" width="15" style="192" customWidth="1"/>
    <col min="12551" max="12799" width="8.7109375" style="192"/>
    <col min="12800" max="12800" width="13.85546875" style="192" customWidth="1"/>
    <col min="12801" max="12801" width="13.140625" style="192" bestFit="1" customWidth="1"/>
    <col min="12802" max="12802" width="51.5703125" style="192" customWidth="1"/>
    <col min="12803" max="12803" width="8.140625" style="192" customWidth="1"/>
    <col min="12804" max="12804" width="14.42578125" style="192" customWidth="1"/>
    <col min="12805" max="12805" width="16.42578125" style="192" customWidth="1"/>
    <col min="12806" max="12806" width="15" style="192" customWidth="1"/>
    <col min="12807" max="13055" width="8.7109375" style="192"/>
    <col min="13056" max="13056" width="13.85546875" style="192" customWidth="1"/>
    <col min="13057" max="13057" width="13.140625" style="192" bestFit="1" customWidth="1"/>
    <col min="13058" max="13058" width="51.5703125" style="192" customWidth="1"/>
    <col min="13059" max="13059" width="8.140625" style="192" customWidth="1"/>
    <col min="13060" max="13060" width="14.42578125" style="192" customWidth="1"/>
    <col min="13061" max="13061" width="16.42578125" style="192" customWidth="1"/>
    <col min="13062" max="13062" width="15" style="192" customWidth="1"/>
    <col min="13063" max="13311" width="8.7109375" style="192"/>
    <col min="13312" max="13312" width="13.85546875" style="192" customWidth="1"/>
    <col min="13313" max="13313" width="13.140625" style="192" bestFit="1" customWidth="1"/>
    <col min="13314" max="13314" width="51.5703125" style="192" customWidth="1"/>
    <col min="13315" max="13315" width="8.140625" style="192" customWidth="1"/>
    <col min="13316" max="13316" width="14.42578125" style="192" customWidth="1"/>
    <col min="13317" max="13317" width="16.42578125" style="192" customWidth="1"/>
    <col min="13318" max="13318" width="15" style="192" customWidth="1"/>
    <col min="13319" max="13567" width="8.7109375" style="192"/>
    <col min="13568" max="13568" width="13.85546875" style="192" customWidth="1"/>
    <col min="13569" max="13569" width="13.140625" style="192" bestFit="1" customWidth="1"/>
    <col min="13570" max="13570" width="51.5703125" style="192" customWidth="1"/>
    <col min="13571" max="13571" width="8.140625" style="192" customWidth="1"/>
    <col min="13572" max="13572" width="14.42578125" style="192" customWidth="1"/>
    <col min="13573" max="13573" width="16.42578125" style="192" customWidth="1"/>
    <col min="13574" max="13574" width="15" style="192" customWidth="1"/>
    <col min="13575" max="13823" width="8.7109375" style="192"/>
    <col min="13824" max="13824" width="13.85546875" style="192" customWidth="1"/>
    <col min="13825" max="13825" width="13.140625" style="192" bestFit="1" customWidth="1"/>
    <col min="13826" max="13826" width="51.5703125" style="192" customWidth="1"/>
    <col min="13827" max="13827" width="8.140625" style="192" customWidth="1"/>
    <col min="13828" max="13828" width="14.42578125" style="192" customWidth="1"/>
    <col min="13829" max="13829" width="16.42578125" style="192" customWidth="1"/>
    <col min="13830" max="13830" width="15" style="192" customWidth="1"/>
    <col min="13831" max="14079" width="8.7109375" style="192"/>
    <col min="14080" max="14080" width="13.85546875" style="192" customWidth="1"/>
    <col min="14081" max="14081" width="13.140625" style="192" bestFit="1" customWidth="1"/>
    <col min="14082" max="14082" width="51.5703125" style="192" customWidth="1"/>
    <col min="14083" max="14083" width="8.140625" style="192" customWidth="1"/>
    <col min="14084" max="14084" width="14.42578125" style="192" customWidth="1"/>
    <col min="14085" max="14085" width="16.42578125" style="192" customWidth="1"/>
    <col min="14086" max="14086" width="15" style="192" customWidth="1"/>
    <col min="14087" max="14335" width="8.7109375" style="192"/>
    <col min="14336" max="14336" width="13.85546875" style="192" customWidth="1"/>
    <col min="14337" max="14337" width="13.140625" style="192" bestFit="1" customWidth="1"/>
    <col min="14338" max="14338" width="51.5703125" style="192" customWidth="1"/>
    <col min="14339" max="14339" width="8.140625" style="192" customWidth="1"/>
    <col min="14340" max="14340" width="14.42578125" style="192" customWidth="1"/>
    <col min="14341" max="14341" width="16.42578125" style="192" customWidth="1"/>
    <col min="14342" max="14342" width="15" style="192" customWidth="1"/>
    <col min="14343" max="14591" width="8.7109375" style="192"/>
    <col min="14592" max="14592" width="13.85546875" style="192" customWidth="1"/>
    <col min="14593" max="14593" width="13.140625" style="192" bestFit="1" customWidth="1"/>
    <col min="14594" max="14594" width="51.5703125" style="192" customWidth="1"/>
    <col min="14595" max="14595" width="8.140625" style="192" customWidth="1"/>
    <col min="14596" max="14596" width="14.42578125" style="192" customWidth="1"/>
    <col min="14597" max="14597" width="16.42578125" style="192" customWidth="1"/>
    <col min="14598" max="14598" width="15" style="192" customWidth="1"/>
    <col min="14599" max="14847" width="8.7109375" style="192"/>
    <col min="14848" max="14848" width="13.85546875" style="192" customWidth="1"/>
    <col min="14849" max="14849" width="13.140625" style="192" bestFit="1" customWidth="1"/>
    <col min="14850" max="14850" width="51.5703125" style="192" customWidth="1"/>
    <col min="14851" max="14851" width="8.140625" style="192" customWidth="1"/>
    <col min="14852" max="14852" width="14.42578125" style="192" customWidth="1"/>
    <col min="14853" max="14853" width="16.42578125" style="192" customWidth="1"/>
    <col min="14854" max="14854" width="15" style="192" customWidth="1"/>
    <col min="14855" max="15103" width="8.7109375" style="192"/>
    <col min="15104" max="15104" width="13.85546875" style="192" customWidth="1"/>
    <col min="15105" max="15105" width="13.140625" style="192" bestFit="1" customWidth="1"/>
    <col min="15106" max="15106" width="51.5703125" style="192" customWidth="1"/>
    <col min="15107" max="15107" width="8.140625" style="192" customWidth="1"/>
    <col min="15108" max="15108" width="14.42578125" style="192" customWidth="1"/>
    <col min="15109" max="15109" width="16.42578125" style="192" customWidth="1"/>
    <col min="15110" max="15110" width="15" style="192" customWidth="1"/>
    <col min="15111" max="15359" width="8.7109375" style="192"/>
    <col min="15360" max="15360" width="13.85546875" style="192" customWidth="1"/>
    <col min="15361" max="15361" width="13.140625" style="192" bestFit="1" customWidth="1"/>
    <col min="15362" max="15362" width="51.5703125" style="192" customWidth="1"/>
    <col min="15363" max="15363" width="8.140625" style="192" customWidth="1"/>
    <col min="15364" max="15364" width="14.42578125" style="192" customWidth="1"/>
    <col min="15365" max="15365" width="16.42578125" style="192" customWidth="1"/>
    <col min="15366" max="15366" width="15" style="192" customWidth="1"/>
    <col min="15367" max="15615" width="8.7109375" style="192"/>
    <col min="15616" max="15616" width="13.85546875" style="192" customWidth="1"/>
    <col min="15617" max="15617" width="13.140625" style="192" bestFit="1" customWidth="1"/>
    <col min="15618" max="15618" width="51.5703125" style="192" customWidth="1"/>
    <col min="15619" max="15619" width="8.140625" style="192" customWidth="1"/>
    <col min="15620" max="15620" width="14.42578125" style="192" customWidth="1"/>
    <col min="15621" max="15621" width="16.42578125" style="192" customWidth="1"/>
    <col min="15622" max="15622" width="15" style="192" customWidth="1"/>
    <col min="15623" max="15871" width="8.7109375" style="192"/>
    <col min="15872" max="15872" width="13.85546875" style="192" customWidth="1"/>
    <col min="15873" max="15873" width="13.140625" style="192" bestFit="1" customWidth="1"/>
    <col min="15874" max="15874" width="51.5703125" style="192" customWidth="1"/>
    <col min="15875" max="15875" width="8.140625" style="192" customWidth="1"/>
    <col min="15876" max="15876" width="14.42578125" style="192" customWidth="1"/>
    <col min="15877" max="15877" width="16.42578125" style="192" customWidth="1"/>
    <col min="15878" max="15878" width="15" style="192" customWidth="1"/>
    <col min="15879" max="16127" width="8.7109375" style="192"/>
    <col min="16128" max="16128" width="13.85546875" style="192" customWidth="1"/>
    <col min="16129" max="16129" width="13.140625" style="192" bestFit="1" customWidth="1"/>
    <col min="16130" max="16130" width="51.5703125" style="192" customWidth="1"/>
    <col min="16131" max="16131" width="8.140625" style="192" customWidth="1"/>
    <col min="16132" max="16132" width="14.42578125" style="192" customWidth="1"/>
    <col min="16133" max="16133" width="16.42578125" style="192" customWidth="1"/>
    <col min="16134" max="16134" width="15" style="192" customWidth="1"/>
    <col min="16135" max="16382" width="8.7109375" style="192"/>
    <col min="16383" max="16384" width="8.85546875" style="192" customWidth="1"/>
  </cols>
  <sheetData>
    <row r="1" spans="1:8" x14ac:dyDescent="0.2">
      <c r="A1" s="217" t="str">
        <f>'MM CALC'!A3</f>
        <v>PREFEITURA MUNICIPAL DE CONCEIÇÃO DO RIO VERDE</v>
      </c>
      <c r="B1" s="276"/>
      <c r="C1" s="276"/>
      <c r="D1" s="277"/>
      <c r="E1" s="276"/>
      <c r="F1" s="276"/>
      <c r="G1" s="217"/>
      <c r="H1" s="244"/>
    </row>
    <row r="2" spans="1:8" x14ac:dyDescent="0.2">
      <c r="A2" s="217" t="str">
        <f>'MM CALC'!A4</f>
        <v>OBRA: CONSTRUÇÃO DE PRAÇA PÚBLICA</v>
      </c>
      <c r="B2" s="276"/>
      <c r="C2" s="276"/>
      <c r="D2" s="277"/>
      <c r="E2" s="276"/>
      <c r="F2" s="276"/>
      <c r="G2" s="276"/>
      <c r="H2" s="244"/>
    </row>
    <row r="3" spans="1:8" x14ac:dyDescent="0.2">
      <c r="A3" s="217" t="str">
        <f>'MM CALC'!A5</f>
        <v>LOCAL: RUA CORONEL JOSÉ BERNARDINHO DE OLIVEIRA, S/N, BAIRRO MATADOURO, CONCEIÇÃO DO RIO VERDE/MG</v>
      </c>
      <c r="B3" s="276"/>
      <c r="C3" s="276"/>
      <c r="D3" s="277"/>
      <c r="E3" s="276"/>
      <c r="F3" s="276"/>
      <c r="G3" s="276"/>
      <c r="H3" s="244"/>
    </row>
    <row r="4" spans="1:8" x14ac:dyDescent="0.2">
      <c r="A4" s="217" t="str">
        <f>'PLAN ORÇ'!A8</f>
        <v>REGIÃO/MÊS DE REFERÊNCIA: SEINFRA REGIÃO SUL JANEIRO/2021 COM DESONERAÇÃO E SINAPI MG MARÇO/2021 DESONERADO</v>
      </c>
      <c r="B4" s="218"/>
      <c r="C4" s="218"/>
      <c r="D4" s="232"/>
      <c r="E4" s="218"/>
      <c r="F4" s="218"/>
      <c r="G4" s="218"/>
      <c r="H4" s="219"/>
    </row>
    <row r="6" spans="1:8" x14ac:dyDescent="0.2">
      <c r="A6" s="384" t="s">
        <v>45</v>
      </c>
      <c r="B6" s="385"/>
      <c r="C6" s="385"/>
      <c r="D6" s="385"/>
      <c r="E6" s="385"/>
      <c r="F6" s="385"/>
      <c r="G6" s="385"/>
      <c r="H6" s="386"/>
    </row>
    <row r="8" spans="1:8" ht="50.1" customHeight="1" x14ac:dyDescent="0.2">
      <c r="A8" s="289" t="s">
        <v>37</v>
      </c>
      <c r="B8" s="288" t="s">
        <v>167</v>
      </c>
      <c r="C8" s="387" t="s">
        <v>240</v>
      </c>
      <c r="D8" s="388"/>
      <c r="E8" s="389" t="s">
        <v>241</v>
      </c>
      <c r="F8" s="390"/>
      <c r="G8" s="390"/>
      <c r="H8" s="391"/>
    </row>
    <row r="9" spans="1:8" ht="38.25" x14ac:dyDescent="0.2">
      <c r="A9" s="194" t="s">
        <v>8</v>
      </c>
      <c r="B9" s="194" t="s">
        <v>31</v>
      </c>
      <c r="C9" s="194" t="s">
        <v>2</v>
      </c>
      <c r="D9" s="195" t="s">
        <v>1</v>
      </c>
      <c r="E9" s="194" t="s">
        <v>26</v>
      </c>
      <c r="F9" s="278" t="s">
        <v>152</v>
      </c>
      <c r="G9" s="196" t="s">
        <v>42</v>
      </c>
      <c r="H9" s="196" t="s">
        <v>43</v>
      </c>
    </row>
    <row r="10" spans="1:8" x14ac:dyDescent="0.2">
      <c r="A10" s="279" t="s">
        <v>27</v>
      </c>
      <c r="B10" s="279" t="s">
        <v>155</v>
      </c>
      <c r="C10" s="287" t="s">
        <v>239</v>
      </c>
      <c r="D10" s="280" t="s">
        <v>238</v>
      </c>
      <c r="E10" s="279" t="s">
        <v>33</v>
      </c>
      <c r="F10" s="281">
        <v>2</v>
      </c>
      <c r="G10" s="282">
        <v>0.54</v>
      </c>
      <c r="H10" s="197">
        <f>G10*F10</f>
        <v>1.08</v>
      </c>
    </row>
    <row r="11" spans="1:8" ht="25.5" x14ac:dyDescent="0.2">
      <c r="A11" s="279" t="s">
        <v>27</v>
      </c>
      <c r="B11" s="279" t="s">
        <v>44</v>
      </c>
      <c r="C11" s="279" t="s">
        <v>168</v>
      </c>
      <c r="D11" s="280" t="s">
        <v>169</v>
      </c>
      <c r="E11" s="279" t="s">
        <v>40</v>
      </c>
      <c r="F11" s="281">
        <v>0.25</v>
      </c>
      <c r="G11" s="282">
        <v>19.63</v>
      </c>
      <c r="H11" s="197">
        <f>G11*F11</f>
        <v>4.9074999999999998</v>
      </c>
    </row>
    <row r="12" spans="1:8" ht="25.5" x14ac:dyDescent="0.2">
      <c r="A12" s="279" t="s">
        <v>27</v>
      </c>
      <c r="B12" s="279" t="s">
        <v>44</v>
      </c>
      <c r="C12" s="279" t="s">
        <v>38</v>
      </c>
      <c r="D12" s="280" t="s">
        <v>39</v>
      </c>
      <c r="E12" s="279" t="s">
        <v>40</v>
      </c>
      <c r="F12" s="281">
        <v>0.2</v>
      </c>
      <c r="G12" s="282">
        <v>14.1</v>
      </c>
      <c r="H12" s="197">
        <f>G12*F12</f>
        <v>2.8200000000000003</v>
      </c>
    </row>
    <row r="13" spans="1:8" x14ac:dyDescent="0.2">
      <c r="G13" s="193" t="s">
        <v>7</v>
      </c>
      <c r="H13" s="284">
        <f>SUM(H10:H12)</f>
        <v>8.807500000000001</v>
      </c>
    </row>
    <row r="14" spans="1:8" s="174" customFormat="1" x14ac:dyDescent="0.2">
      <c r="D14" s="285"/>
    </row>
    <row r="15" spans="1:8" s="174" customFormat="1" ht="12.95" customHeight="1" x14ac:dyDescent="0.2">
      <c r="D15" s="285"/>
    </row>
    <row r="16" spans="1:8" s="174" customFormat="1" ht="12.95" customHeight="1" x14ac:dyDescent="0.2">
      <c r="D16" s="285"/>
    </row>
    <row r="17" spans="3:5" s="174" customFormat="1" ht="12.95" customHeight="1" x14ac:dyDescent="0.2">
      <c r="D17" s="285"/>
    </row>
    <row r="18" spans="3:5" s="174" customFormat="1" ht="12.95" customHeight="1" x14ac:dyDescent="0.2">
      <c r="D18" s="285"/>
    </row>
    <row r="19" spans="3:5" s="321" customFormat="1" ht="12.95" customHeight="1" x14ac:dyDescent="0.2">
      <c r="C19" s="318" t="str">
        <f>'MM CALC'!D55</f>
        <v>___________________________________________</v>
      </c>
      <c r="D19" s="328"/>
      <c r="E19" s="320" t="str">
        <f>'MM CALC'!G55</f>
        <v>___________________________________________</v>
      </c>
    </row>
    <row r="20" spans="3:5" s="321" customFormat="1" ht="12.95" customHeight="1" x14ac:dyDescent="0.2">
      <c r="C20" s="319" t="str">
        <f>'MM CALC'!D56</f>
        <v>Wanderson Soares da Silva</v>
      </c>
      <c r="D20" s="328"/>
      <c r="E20" s="327" t="str">
        <f>'MM CALC'!G56</f>
        <v>Pedro Paulo</v>
      </c>
    </row>
    <row r="21" spans="3:5" s="321" customFormat="1" ht="12.95" customHeight="1" x14ac:dyDescent="0.2">
      <c r="C21" s="318" t="str">
        <f>'MM CALC'!D57</f>
        <v>Engenheiro Civil - CREA/SP nº  5069777653/D</v>
      </c>
      <c r="D21" s="328"/>
      <c r="E21" s="320" t="str">
        <f>'MM CALC'!G57</f>
        <v>Prefeito Municipal de Conceição do Rio Verde</v>
      </c>
    </row>
    <row r="22" spans="3:5" s="174" customFormat="1" ht="12.95" customHeight="1" x14ac:dyDescent="0.2">
      <c r="D22" s="285"/>
    </row>
    <row r="23" spans="3:5" s="174" customFormat="1" x14ac:dyDescent="0.2">
      <c r="D23" s="285"/>
    </row>
    <row r="24" spans="3:5" s="174" customFormat="1" x14ac:dyDescent="0.2">
      <c r="D24" s="285"/>
    </row>
    <row r="25" spans="3:5" s="174" customFormat="1" x14ac:dyDescent="0.2">
      <c r="D25" s="285"/>
    </row>
    <row r="26" spans="3:5" s="162" customFormat="1" x14ac:dyDescent="0.2">
      <c r="D26" s="286"/>
    </row>
    <row r="27" spans="3:5" s="162" customFormat="1" x14ac:dyDescent="0.2">
      <c r="D27" s="286"/>
    </row>
    <row r="28" spans="3:5" s="162" customFormat="1" x14ac:dyDescent="0.2">
      <c r="D28" s="286"/>
    </row>
  </sheetData>
  <mergeCells count="3">
    <mergeCell ref="A6:H6"/>
    <mergeCell ref="C8:D8"/>
    <mergeCell ref="E8:H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95"/>
  <sheetViews>
    <sheetView view="pageBreakPreview" topLeftCell="A25" zoomScale="75" zoomScaleNormal="75" zoomScaleSheetLayoutView="75" workbookViewId="0">
      <selection activeCell="I22" sqref="I22"/>
    </sheetView>
  </sheetViews>
  <sheetFormatPr defaultColWidth="8.7109375" defaultRowHeight="11.25" x14ac:dyDescent="0.2"/>
  <cols>
    <col min="1" max="1" width="3" style="236" bestFit="1" customWidth="1"/>
    <col min="2" max="2" width="10.85546875" style="157" bestFit="1" customWidth="1"/>
    <col min="3" max="3" width="5.140625" style="157" bestFit="1" customWidth="1"/>
    <col min="4" max="4" width="7.5703125" style="157" bestFit="1" customWidth="1"/>
    <col min="5" max="5" width="53.85546875" style="237" customWidth="1"/>
    <col min="6" max="6" width="9.140625" style="157" bestFit="1" customWidth="1"/>
    <col min="7" max="7" width="10.28515625" style="238" bestFit="1" customWidth="1"/>
    <col min="8" max="8" width="8.85546875" style="157" bestFit="1" customWidth="1"/>
    <col min="9" max="9" width="12.42578125" style="157" customWidth="1"/>
    <col min="10" max="10" width="8.85546875" style="236" bestFit="1" customWidth="1"/>
    <col min="11" max="16384" width="8.7109375" style="236"/>
  </cols>
  <sheetData>
    <row r="2" spans="1:10" s="220" customFormat="1" ht="12.75" x14ac:dyDescent="0.2">
      <c r="B2" s="230" t="str">
        <f>'MM CALC'!A3</f>
        <v>PREFEITURA MUNICIPAL DE CONCEIÇÃO DO RIO VERDE</v>
      </c>
      <c r="C2" s="231"/>
      <c r="D2" s="231"/>
      <c r="E2" s="232"/>
      <c r="F2" s="231"/>
      <c r="G2" s="233"/>
      <c r="H2" s="230" t="str">
        <f>'MM CALC'!E3</f>
        <v>DATA: 14/06/2021</v>
      </c>
      <c r="I2" s="231"/>
      <c r="J2" s="219"/>
    </row>
    <row r="3" spans="1:10" s="220" customFormat="1" ht="12.75" x14ac:dyDescent="0.2">
      <c r="B3" s="230" t="str">
        <f>'MM CALC'!A4</f>
        <v>OBRA: CONSTRUÇÃO DE PRAÇA PÚBLICA</v>
      </c>
      <c r="C3" s="231"/>
      <c r="D3" s="231"/>
      <c r="E3" s="232"/>
      <c r="F3" s="231"/>
      <c r="G3" s="233"/>
      <c r="H3" s="231"/>
      <c r="I3" s="231"/>
      <c r="J3" s="219"/>
    </row>
    <row r="4" spans="1:10" s="220" customFormat="1" ht="12.75" x14ac:dyDescent="0.2">
      <c r="B4" s="230" t="str">
        <f>'MM CALC'!A5</f>
        <v>LOCAL: RUA CORONEL JOSÉ BERNARDINHO DE OLIVEIRA, S/N, BAIRRO MATADOURO, CONCEIÇÃO DO RIO VERDE/MG</v>
      </c>
      <c r="C4" s="231"/>
      <c r="D4" s="231"/>
      <c r="E4" s="232"/>
      <c r="F4" s="231"/>
      <c r="G4" s="233"/>
      <c r="H4" s="231"/>
      <c r="I4" s="231"/>
      <c r="J4" s="219"/>
    </row>
    <row r="5" spans="1:10" s="220" customFormat="1" ht="30" customHeight="1" x14ac:dyDescent="0.2">
      <c r="B5" s="397" t="str">
        <f>'PLAN ORÇ'!A8</f>
        <v>REGIÃO/MÊS DE REFERÊNCIA: SEINFRA REGIÃO SUL JANEIRO/2021 COM DESONERAÇÃO E SINAPI MG MARÇO/2021 DESONERADO</v>
      </c>
      <c r="C5" s="398"/>
      <c r="D5" s="398"/>
      <c r="E5" s="398"/>
      <c r="F5" s="398"/>
      <c r="G5" s="398"/>
      <c r="H5" s="398"/>
      <c r="I5" s="398"/>
      <c r="J5" s="399"/>
    </row>
    <row r="6" spans="1:10" s="220" customFormat="1" ht="5.0999999999999996" customHeight="1" x14ac:dyDescent="0.2">
      <c r="B6" s="221"/>
      <c r="C6" s="221"/>
      <c r="D6" s="221"/>
      <c r="E6" s="234"/>
      <c r="F6" s="221"/>
      <c r="G6" s="235"/>
      <c r="H6" s="221"/>
      <c r="I6" s="221"/>
    </row>
    <row r="7" spans="1:10" s="220" customFormat="1" ht="12.6" customHeight="1" x14ac:dyDescent="0.2">
      <c r="B7" s="400" t="s">
        <v>146</v>
      </c>
      <c r="C7" s="401"/>
      <c r="D7" s="401"/>
      <c r="E7" s="401"/>
      <c r="F7" s="401"/>
      <c r="G7" s="401"/>
      <c r="H7" s="401"/>
      <c r="I7" s="401"/>
      <c r="J7" s="402"/>
    </row>
    <row r="8" spans="1:10" ht="5.0999999999999996" customHeight="1" x14ac:dyDescent="0.2"/>
    <row r="9" spans="1:10" ht="12.75" x14ac:dyDescent="0.2">
      <c r="E9" s="239" t="s">
        <v>147</v>
      </c>
      <c r="F9" s="240"/>
      <c r="G9" s="241"/>
      <c r="H9" s="242"/>
      <c r="I9" s="243"/>
      <c r="J9" s="244"/>
    </row>
    <row r="10" spans="1:10" x14ac:dyDescent="0.2">
      <c r="E10" s="245"/>
      <c r="F10" s="403" t="s">
        <v>246</v>
      </c>
      <c r="G10" s="404"/>
      <c r="H10" s="405"/>
      <c r="I10" s="406" t="s">
        <v>148</v>
      </c>
      <c r="J10" s="408" t="s">
        <v>149</v>
      </c>
    </row>
    <row r="11" spans="1:10" ht="16.5" x14ac:dyDescent="0.2">
      <c r="E11" s="246" t="s">
        <v>1</v>
      </c>
      <c r="F11" s="247" t="s">
        <v>164</v>
      </c>
      <c r="G11" s="247" t="s">
        <v>150</v>
      </c>
      <c r="H11" s="247" t="s">
        <v>166</v>
      </c>
      <c r="I11" s="407"/>
      <c r="J11" s="409"/>
    </row>
    <row r="12" spans="1:10" ht="22.5" x14ac:dyDescent="0.2">
      <c r="E12" s="248" t="s">
        <v>165</v>
      </c>
      <c r="F12" s="249">
        <v>386.91</v>
      </c>
      <c r="G12" s="249">
        <f>298.88+(26.52/6)</f>
        <v>303.3</v>
      </c>
      <c r="H12" s="249">
        <f>399.99+(34.32/6)</f>
        <v>405.71000000000004</v>
      </c>
      <c r="I12" s="250">
        <f>(H12+G12+F12)/3</f>
        <v>365.30666666666667</v>
      </c>
      <c r="J12" s="251">
        <f>I12</f>
        <v>365.30666666666667</v>
      </c>
    </row>
    <row r="14" spans="1:10" ht="60" customHeight="1" x14ac:dyDescent="0.2">
      <c r="A14" s="252"/>
      <c r="B14" s="253" t="s">
        <v>37</v>
      </c>
      <c r="C14" s="254" t="s">
        <v>167</v>
      </c>
      <c r="D14" s="392" t="s">
        <v>271</v>
      </c>
      <c r="E14" s="393"/>
      <c r="F14" s="394" t="s">
        <v>151</v>
      </c>
      <c r="G14" s="395"/>
      <c r="H14" s="395"/>
      <c r="I14" s="396"/>
    </row>
    <row r="15" spans="1:10" s="260" customFormat="1" ht="22.5" x14ac:dyDescent="0.2">
      <c r="A15" s="255"/>
      <c r="B15" s="256" t="s">
        <v>8</v>
      </c>
      <c r="C15" s="256" t="s">
        <v>31</v>
      </c>
      <c r="D15" s="256" t="s">
        <v>2</v>
      </c>
      <c r="E15" s="257" t="s">
        <v>1</v>
      </c>
      <c r="F15" s="256" t="s">
        <v>26</v>
      </c>
      <c r="G15" s="258" t="s">
        <v>152</v>
      </c>
      <c r="H15" s="259" t="s">
        <v>42</v>
      </c>
      <c r="I15" s="259" t="s">
        <v>43</v>
      </c>
    </row>
    <row r="16" spans="1:10" ht="22.5" x14ac:dyDescent="0.2">
      <c r="A16" s="252"/>
      <c r="B16" s="261" t="s">
        <v>27</v>
      </c>
      <c r="C16" s="261" t="s">
        <v>44</v>
      </c>
      <c r="D16" s="261" t="s">
        <v>153</v>
      </c>
      <c r="E16" s="262" t="s">
        <v>154</v>
      </c>
      <c r="F16" s="261" t="s">
        <v>32</v>
      </c>
      <c r="G16" s="263">
        <v>1</v>
      </c>
      <c r="H16" s="264">
        <v>28.2</v>
      </c>
      <c r="I16" s="249">
        <f>H16*G16</f>
        <v>28.2</v>
      </c>
    </row>
    <row r="17" spans="1:9" ht="22.5" x14ac:dyDescent="0.2">
      <c r="A17" s="252"/>
      <c r="B17" s="261" t="s">
        <v>41</v>
      </c>
      <c r="C17" s="261" t="s">
        <v>155</v>
      </c>
      <c r="D17" s="229" t="s">
        <v>105</v>
      </c>
      <c r="E17" s="265" t="s">
        <v>272</v>
      </c>
      <c r="F17" s="266" t="s">
        <v>35</v>
      </c>
      <c r="G17" s="267">
        <v>1</v>
      </c>
      <c r="H17" s="249">
        <v>1200</v>
      </c>
      <c r="I17" s="249">
        <f>H17*G17</f>
        <v>1200</v>
      </c>
    </row>
    <row r="18" spans="1:9" ht="33.75" x14ac:dyDescent="0.2">
      <c r="A18" s="252"/>
      <c r="B18" s="261" t="s">
        <v>27</v>
      </c>
      <c r="C18" s="261" t="s">
        <v>44</v>
      </c>
      <c r="D18" s="229" t="s">
        <v>156</v>
      </c>
      <c r="E18" s="265" t="s">
        <v>157</v>
      </c>
      <c r="F18" s="266" t="s">
        <v>163</v>
      </c>
      <c r="G18" s="267">
        <f>ROUND((3.1416*0.125^2*1)-(3.1416*0.0625^2*1),4)</f>
        <v>3.6799999999999999E-2</v>
      </c>
      <c r="H18" s="249">
        <v>450.53</v>
      </c>
      <c r="I18" s="249">
        <f>H18*G18</f>
        <v>16.579504</v>
      </c>
    </row>
    <row r="19" spans="1:9" ht="22.5" x14ac:dyDescent="0.2">
      <c r="B19" s="261" t="s">
        <v>88</v>
      </c>
      <c r="C19" s="261" t="s">
        <v>155</v>
      </c>
      <c r="D19" s="268" t="s">
        <v>158</v>
      </c>
      <c r="E19" s="269" t="str">
        <f>E12</f>
        <v>LUMINÁRIA SOLAR PARA ILUMINAÇÃO PÚBLICA LED 150W PARA POSTE (INCLUSIVE FRETE)</v>
      </c>
      <c r="F19" s="266" t="s">
        <v>35</v>
      </c>
      <c r="G19" s="267">
        <v>1</v>
      </c>
      <c r="H19" s="249">
        <f>J12</f>
        <v>365.30666666666667</v>
      </c>
      <c r="I19" s="249">
        <f t="shared" ref="I19" si="0">H19*G19</f>
        <v>365.30666666666667</v>
      </c>
    </row>
    <row r="20" spans="1:9" ht="22.5" x14ac:dyDescent="0.2">
      <c r="B20" s="158" t="s">
        <v>27</v>
      </c>
      <c r="C20" s="158" t="s">
        <v>44</v>
      </c>
      <c r="D20" s="266" t="s">
        <v>159</v>
      </c>
      <c r="E20" s="265" t="s">
        <v>160</v>
      </c>
      <c r="F20" s="158" t="s">
        <v>40</v>
      </c>
      <c r="G20" s="267">
        <v>1</v>
      </c>
      <c r="H20" s="270">
        <v>15.09</v>
      </c>
      <c r="I20" s="270">
        <f>H20*G20</f>
        <v>15.09</v>
      </c>
    </row>
    <row r="21" spans="1:9" ht="22.5" x14ac:dyDescent="0.2">
      <c r="B21" s="158" t="s">
        <v>27</v>
      </c>
      <c r="C21" s="158" t="s">
        <v>44</v>
      </c>
      <c r="D21" s="266" t="s">
        <v>161</v>
      </c>
      <c r="E21" s="265" t="s">
        <v>162</v>
      </c>
      <c r="F21" s="158" t="s">
        <v>40</v>
      </c>
      <c r="G21" s="267">
        <v>1</v>
      </c>
      <c r="H21" s="270">
        <v>19.82</v>
      </c>
      <c r="I21" s="270">
        <f>H21*G21</f>
        <v>19.82</v>
      </c>
    </row>
    <row r="22" spans="1:9" x14ac:dyDescent="0.2">
      <c r="B22" s="236"/>
      <c r="C22" s="236"/>
      <c r="D22" s="236"/>
      <c r="E22" s="236"/>
      <c r="F22" s="236"/>
      <c r="G22" s="271"/>
      <c r="H22" s="272" t="s">
        <v>7</v>
      </c>
      <c r="I22" s="116">
        <f>ROUND(SUM(I16:I21),2)</f>
        <v>1645</v>
      </c>
    </row>
    <row r="65" spans="2:9" s="329" customFormat="1" ht="15" x14ac:dyDescent="0.2">
      <c r="E65" s="330" t="str">
        <f>'MM CALC'!D55</f>
        <v>___________________________________________</v>
      </c>
      <c r="G65" s="331"/>
      <c r="H65" s="332" t="str">
        <f>'MM CALC'!G55</f>
        <v>___________________________________________</v>
      </c>
    </row>
    <row r="66" spans="2:9" s="329" customFormat="1" ht="15" x14ac:dyDescent="0.2">
      <c r="E66" s="333" t="str">
        <f>'MM CALC'!D56</f>
        <v>Wanderson Soares da Silva</v>
      </c>
      <c r="G66" s="331"/>
      <c r="H66" s="334" t="str">
        <f>'MM CALC'!G56</f>
        <v>Pedro Paulo</v>
      </c>
    </row>
    <row r="67" spans="2:9" s="329" customFormat="1" ht="15" x14ac:dyDescent="0.2">
      <c r="E67" s="330" t="str">
        <f>'MM CALC'!D57</f>
        <v>Engenheiro Civil - CREA/SP nº  5069777653/D</v>
      </c>
      <c r="G67" s="331"/>
      <c r="H67" s="332" t="str">
        <f>'MM CALC'!G57</f>
        <v>Prefeito Municipal de Conceição do Rio Verde</v>
      </c>
    </row>
    <row r="68" spans="2:9" s="273" customFormat="1" ht="12.75" x14ac:dyDescent="0.2">
      <c r="B68" s="174"/>
      <c r="C68" s="174"/>
      <c r="E68" s="175"/>
      <c r="F68" s="174"/>
      <c r="H68" s="274"/>
      <c r="I68" s="174"/>
    </row>
    <row r="69" spans="2:9" s="273" customFormat="1" ht="12.75" x14ac:dyDescent="0.2">
      <c r="B69" s="174"/>
      <c r="C69" s="174"/>
      <c r="E69" s="225"/>
      <c r="F69" s="174"/>
      <c r="H69" s="275"/>
      <c r="I69" s="174"/>
    </row>
    <row r="70" spans="2:9" s="273" customFormat="1" ht="12.75" x14ac:dyDescent="0.2">
      <c r="B70" s="174"/>
      <c r="C70" s="174"/>
      <c r="E70" s="175"/>
      <c r="F70" s="174"/>
      <c r="H70" s="274"/>
      <c r="I70" s="174"/>
    </row>
    <row r="83" spans="1:12" s="157" customFormat="1" x14ac:dyDescent="0.2">
      <c r="A83" s="236"/>
      <c r="E83" s="236"/>
      <c r="G83" s="238"/>
      <c r="J83" s="236"/>
      <c r="K83" s="236"/>
      <c r="L83" s="236"/>
    </row>
    <row r="84" spans="1:12" s="157" customFormat="1" x14ac:dyDescent="0.2">
      <c r="A84" s="236"/>
      <c r="E84" s="236"/>
      <c r="G84" s="238"/>
      <c r="J84" s="236"/>
      <c r="K84" s="236"/>
      <c r="L84" s="236"/>
    </row>
    <row r="85" spans="1:12" s="157" customFormat="1" x14ac:dyDescent="0.2">
      <c r="A85" s="236"/>
      <c r="E85" s="236"/>
      <c r="G85" s="238"/>
      <c r="J85" s="236"/>
      <c r="K85" s="236"/>
      <c r="L85" s="236"/>
    </row>
    <row r="86" spans="1:12" s="157" customFormat="1" x14ac:dyDescent="0.2">
      <c r="A86" s="236"/>
      <c r="E86" s="236"/>
      <c r="G86" s="238"/>
      <c r="J86" s="236"/>
      <c r="K86" s="236"/>
      <c r="L86" s="236"/>
    </row>
    <row r="87" spans="1:12" s="157" customFormat="1" x14ac:dyDescent="0.2">
      <c r="A87" s="236"/>
      <c r="E87" s="236"/>
      <c r="G87" s="238"/>
      <c r="J87" s="236"/>
      <c r="K87" s="236"/>
      <c r="L87" s="236"/>
    </row>
    <row r="88" spans="1:12" s="157" customFormat="1" x14ac:dyDescent="0.2">
      <c r="A88" s="236"/>
      <c r="E88" s="236"/>
      <c r="G88" s="238"/>
      <c r="J88" s="236"/>
      <c r="K88" s="236"/>
      <c r="L88" s="236"/>
    </row>
    <row r="89" spans="1:12" s="157" customFormat="1" x14ac:dyDescent="0.2">
      <c r="A89" s="236"/>
      <c r="E89" s="236"/>
      <c r="G89" s="238"/>
      <c r="J89" s="236"/>
      <c r="K89" s="236"/>
      <c r="L89" s="236"/>
    </row>
    <row r="90" spans="1:12" s="157" customFormat="1" x14ac:dyDescent="0.2">
      <c r="A90" s="236"/>
      <c r="E90" s="236"/>
      <c r="G90" s="238"/>
      <c r="J90" s="236"/>
      <c r="K90" s="236"/>
      <c r="L90" s="236"/>
    </row>
    <row r="91" spans="1:12" s="157" customFormat="1" ht="12.75" x14ac:dyDescent="0.2">
      <c r="A91" s="236"/>
      <c r="D91" s="174"/>
      <c r="E91" s="236"/>
      <c r="G91" s="238"/>
      <c r="J91" s="236"/>
      <c r="K91" s="236"/>
      <c r="L91" s="236"/>
    </row>
    <row r="92" spans="1:12" s="157" customFormat="1" ht="12.75" x14ac:dyDescent="0.2">
      <c r="A92" s="236"/>
      <c r="D92" s="174"/>
      <c r="E92" s="236"/>
      <c r="G92" s="238"/>
      <c r="J92" s="236"/>
      <c r="K92" s="236"/>
      <c r="L92" s="236"/>
    </row>
    <row r="93" spans="1:12" s="157" customFormat="1" x14ac:dyDescent="0.2">
      <c r="A93" s="236"/>
      <c r="D93" s="236"/>
      <c r="E93" s="236"/>
      <c r="G93" s="238"/>
      <c r="J93" s="236"/>
      <c r="K93" s="236"/>
      <c r="L93" s="236"/>
    </row>
    <row r="94" spans="1:12" s="157" customFormat="1" x14ac:dyDescent="0.2">
      <c r="A94" s="236"/>
      <c r="E94" s="236"/>
      <c r="G94" s="238"/>
      <c r="J94" s="236"/>
      <c r="K94" s="236"/>
      <c r="L94" s="236"/>
    </row>
    <row r="95" spans="1:12" s="157" customFormat="1" x14ac:dyDescent="0.2">
      <c r="A95" s="236"/>
      <c r="E95" s="236"/>
      <c r="G95" s="238"/>
      <c r="J95" s="236"/>
      <c r="K95" s="236"/>
      <c r="L95" s="236"/>
    </row>
  </sheetData>
  <mergeCells count="7">
    <mergeCell ref="D14:E14"/>
    <mergeCell ref="F14:I14"/>
    <mergeCell ref="B5:J5"/>
    <mergeCell ref="B7:J7"/>
    <mergeCell ref="F10:H10"/>
    <mergeCell ref="I10:I11"/>
    <mergeCell ref="J10:J11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6" orientation="portrait" r:id="rId1"/>
  <headerFooter>
    <oddFooter>&amp;CPágina &amp;P de &amp;N</oddFooter>
  </headerFooter>
  <ignoredErrors>
    <ignoredError sqref="D17 C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M73"/>
  <sheetViews>
    <sheetView view="pageBreakPreview" topLeftCell="A4" zoomScale="75" zoomScaleNormal="100" zoomScaleSheetLayoutView="75" workbookViewId="0">
      <selection activeCell="S45" sqref="S45"/>
    </sheetView>
  </sheetViews>
  <sheetFormatPr defaultColWidth="8.7109375" defaultRowHeight="12.75" x14ac:dyDescent="0.2"/>
  <cols>
    <col min="1" max="1" width="8.7109375" style="224"/>
    <col min="2" max="2" width="13.5703125" style="224" customWidth="1"/>
    <col min="3" max="6" width="10.5703125" style="224" customWidth="1"/>
    <col min="7" max="8" width="5.5703125" style="224" customWidth="1"/>
    <col min="9" max="12" width="10.5703125" style="224" customWidth="1"/>
    <col min="13" max="13" width="10.5703125" style="316" customWidth="1"/>
    <col min="14" max="16384" width="8.7109375" style="224"/>
  </cols>
  <sheetData>
    <row r="2" spans="2:13" s="326" customFormat="1" ht="15" x14ac:dyDescent="0.2">
      <c r="B2" s="323" t="str">
        <f>'MM CALC'!A3</f>
        <v>PREFEITURA MUNICIPAL DE CONCEIÇÃO DO RIO VERDE</v>
      </c>
      <c r="C2" s="324"/>
      <c r="D2" s="324"/>
      <c r="E2" s="324"/>
      <c r="F2" s="324"/>
      <c r="G2" s="324"/>
      <c r="H2" s="324"/>
      <c r="I2" s="324"/>
      <c r="J2" s="324"/>
      <c r="K2" s="323" t="str">
        <f>'MM CALC'!E3</f>
        <v>DATA: 14/06/2021</v>
      </c>
      <c r="L2" s="324"/>
      <c r="M2" s="325"/>
    </row>
    <row r="3" spans="2:13" s="326" customFormat="1" ht="15" x14ac:dyDescent="0.2">
      <c r="B3" s="323" t="str">
        <f>'MM CALC'!A4</f>
        <v>OBRA: CONSTRUÇÃO DE PRAÇA PÚBLICA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5"/>
    </row>
    <row r="4" spans="2:13" s="326" customFormat="1" ht="15" x14ac:dyDescent="0.2">
      <c r="B4" s="323" t="str">
        <f>'MM CALC'!A5</f>
        <v>LOCAL: RUA CORONEL JOSÉ BERNARDINHO DE OLIVEIRA, S/N, BAIRRO MATADOURO, CONCEIÇÃO DO RIO VERDE/MG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5"/>
    </row>
    <row r="5" spans="2:13" s="220" customFormat="1" x14ac:dyDescent="0.2">
      <c r="M5" s="314"/>
    </row>
    <row r="6" spans="2:13" s="220" customFormat="1" x14ac:dyDescent="0.2">
      <c r="M6" s="314"/>
    </row>
    <row r="7" spans="2:13" s="220" customFormat="1" ht="15.75" x14ac:dyDescent="0.2">
      <c r="B7" s="410" t="s">
        <v>247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2:13" s="220" customFormat="1" x14ac:dyDescent="0.2"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315"/>
    </row>
    <row r="23" spans="5:13" x14ac:dyDescent="0.2">
      <c r="E23" s="222" t="s">
        <v>110</v>
      </c>
      <c r="F23" s="223">
        <f>ROUND(1480.78445209,2)</f>
        <v>1480.78</v>
      </c>
      <c r="L23" s="222" t="s">
        <v>122</v>
      </c>
      <c r="M23" s="317">
        <f>ROUND(177.82549209,2)</f>
        <v>177.83</v>
      </c>
    </row>
    <row r="24" spans="5:13" x14ac:dyDescent="0.2">
      <c r="E24" s="222" t="s">
        <v>109</v>
      </c>
      <c r="F24" s="223">
        <f>ROUND(182.004296,2)</f>
        <v>182</v>
      </c>
      <c r="L24" s="222" t="s">
        <v>123</v>
      </c>
      <c r="M24" s="317">
        <f>ROUND(240.547156,2)</f>
        <v>240.55</v>
      </c>
    </row>
    <row r="42" spans="5:13" x14ac:dyDescent="0.2">
      <c r="E42" s="222" t="s">
        <v>124</v>
      </c>
      <c r="F42" s="317">
        <f>ROUND(29.87526151,2)</f>
        <v>29.88</v>
      </c>
      <c r="L42" s="222" t="s">
        <v>136</v>
      </c>
      <c r="M42" s="223">
        <f>ROUND(41.10858568,2)</f>
        <v>41.11</v>
      </c>
    </row>
    <row r="43" spans="5:13" x14ac:dyDescent="0.2">
      <c r="E43" s="222" t="s">
        <v>130</v>
      </c>
      <c r="F43" s="317">
        <f>ROUND(19.899538,2)</f>
        <v>19.899999999999999</v>
      </c>
      <c r="L43" s="222" t="s">
        <v>137</v>
      </c>
      <c r="M43" s="223">
        <f>ROUND(23.342825,2)</f>
        <v>23.34</v>
      </c>
    </row>
    <row r="47" spans="5:13" x14ac:dyDescent="0.2">
      <c r="K47" s="222"/>
      <c r="L47" s="223"/>
    </row>
    <row r="48" spans="5:13" x14ac:dyDescent="0.2">
      <c r="K48" s="222"/>
      <c r="L48" s="223"/>
    </row>
    <row r="49" spans="5:12" x14ac:dyDescent="0.2">
      <c r="K49" s="222"/>
      <c r="L49" s="223"/>
    </row>
    <row r="50" spans="5:12" x14ac:dyDescent="0.2">
      <c r="E50" s="222"/>
      <c r="F50" s="223"/>
      <c r="K50" s="222"/>
      <c r="L50" s="223"/>
    </row>
    <row r="58" spans="5:12" x14ac:dyDescent="0.2">
      <c r="E58" s="222" t="s">
        <v>125</v>
      </c>
      <c r="F58" s="317">
        <f>ROUND(4.43872677,2)</f>
        <v>4.4400000000000004</v>
      </c>
    </row>
    <row r="59" spans="5:12" x14ac:dyDescent="0.2">
      <c r="K59" s="222"/>
      <c r="L59" s="223"/>
    </row>
    <row r="60" spans="5:12" x14ac:dyDescent="0.2">
      <c r="K60" s="222"/>
      <c r="L60" s="223"/>
    </row>
    <row r="64" spans="5:12" x14ac:dyDescent="0.2">
      <c r="E64" s="222"/>
      <c r="F64" s="223"/>
      <c r="K64" s="222"/>
      <c r="L64" s="223"/>
    </row>
    <row r="65" spans="4:13" s="321" customFormat="1" ht="15.75" x14ac:dyDescent="0.2">
      <c r="D65" s="318" t="str">
        <f>'MM CALC'!D55</f>
        <v>___________________________________________</v>
      </c>
      <c r="F65" s="320"/>
      <c r="K65" s="320" t="str">
        <f>'MM CALC'!G55</f>
        <v>___________________________________________</v>
      </c>
      <c r="L65" s="320"/>
      <c r="M65" s="322"/>
    </row>
    <row r="66" spans="4:13" s="321" customFormat="1" ht="15.75" x14ac:dyDescent="0.2">
      <c r="D66" s="319" t="str">
        <f>'MM CALC'!D56</f>
        <v>Wanderson Soares da Silva</v>
      </c>
      <c r="K66" s="327" t="str">
        <f>'MM CALC'!G56</f>
        <v>Pedro Paulo</v>
      </c>
      <c r="L66" s="320"/>
      <c r="M66" s="322"/>
    </row>
    <row r="67" spans="4:13" s="321" customFormat="1" ht="15.75" x14ac:dyDescent="0.2">
      <c r="D67" s="318" t="str">
        <f>'MM CALC'!D57</f>
        <v>Engenheiro Civil - CREA/SP nº  5069777653/D</v>
      </c>
      <c r="K67" s="320" t="str">
        <f>'MM CALC'!G57</f>
        <v>Prefeito Municipal de Conceição do Rio Verde</v>
      </c>
      <c r="L67" s="320"/>
      <c r="M67" s="322"/>
    </row>
    <row r="68" spans="4:13" x14ac:dyDescent="0.2">
      <c r="E68" s="222"/>
      <c r="F68" s="223"/>
      <c r="K68" s="222"/>
      <c r="L68" s="223"/>
    </row>
    <row r="69" spans="4:13" x14ac:dyDescent="0.2">
      <c r="E69" s="222"/>
      <c r="F69" s="223"/>
      <c r="K69" s="222"/>
      <c r="L69" s="223"/>
    </row>
    <row r="71" spans="4:13" x14ac:dyDescent="0.2">
      <c r="E71" s="176"/>
      <c r="K71" s="175"/>
    </row>
    <row r="72" spans="4:13" x14ac:dyDescent="0.2">
      <c r="E72" s="177"/>
      <c r="K72" s="225"/>
    </row>
    <row r="73" spans="4:13" x14ac:dyDescent="0.2">
      <c r="E73" s="176"/>
      <c r="K73" s="175"/>
    </row>
  </sheetData>
  <mergeCells count="1">
    <mergeCell ref="B7:M7"/>
  </mergeCells>
  <printOptions horizontalCentered="1"/>
  <pageMargins left="0.59055118110236227" right="0.39370078740157483" top="0.98425196850393704" bottom="0.98425196850393704" header="0.31496062992125984" footer="0.31496062992125984"/>
  <pageSetup paperSize="9" scale="79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PLAN ORÇ</vt:lpstr>
      <vt:lpstr>CRON</vt:lpstr>
      <vt:lpstr>MM CALC</vt:lpstr>
      <vt:lpstr>COMP 1-TUBO</vt:lpstr>
      <vt:lpstr>COMP 2-CIMENTO QUEIMADO</vt:lpstr>
      <vt:lpstr>COMP 3-LUNINÁRIA SOLAR C POSTE</vt:lpstr>
      <vt:lpstr>MM CALC AUX-ÁREAS E PERÍMETROS</vt:lpstr>
      <vt:lpstr>'COMP 1-TUBO'!Area_de_impressao</vt:lpstr>
      <vt:lpstr>'COMP 2-CIMENTO QUEIMADO'!Area_de_impressao</vt:lpstr>
      <vt:lpstr>'COMP 3-LUNINÁRIA SOLAR C POSTE'!Area_de_impressao</vt:lpstr>
      <vt:lpstr>CRON!Area_de_impressao</vt:lpstr>
      <vt:lpstr>'MM CALC'!Area_de_impressao</vt:lpstr>
      <vt:lpstr>'MM CALC AUX-ÁREAS E PERÍMETROS'!Area_de_impressao</vt:lpstr>
      <vt:lpstr>'PLAN ORÇ'!Area_de_impressao</vt:lpstr>
      <vt:lpstr>Fonte</vt:lpstr>
      <vt:lpstr>'MM CALC'!Titulos_de_impressao</vt:lpstr>
      <vt:lpstr>'PLAN ORÇ'!Titulos_de_impressao</vt:lpstr>
    </vt:vector>
  </TitlesOfParts>
  <Company>EMPRESARIAL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Engenharia</cp:lastModifiedBy>
  <cp:lastPrinted>2021-06-15T22:53:18Z</cp:lastPrinted>
  <dcterms:created xsi:type="dcterms:W3CDTF">2010-03-02T12:32:19Z</dcterms:created>
  <dcterms:modified xsi:type="dcterms:W3CDTF">2021-06-16T15:37:37Z</dcterms:modified>
</cp:coreProperties>
</file>